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:\Mon Drive\Clé usb\FoFGTA\Autres outils\"/>
    </mc:Choice>
  </mc:AlternateContent>
  <xr:revisionPtr revIDLastSave="0" documentId="13_ncr:1_{0397B4E1-E7E9-4236-9D7B-72093BD841C4}" xr6:coauthVersionLast="47" xr6:coauthVersionMax="47" xr10:uidLastSave="{00000000-0000-0000-0000-000000000000}"/>
  <bookViews>
    <workbookView xWindow="-120" yWindow="-120" windowWidth="24240" windowHeight="13140" xr2:uid="{70D71773-93BA-4A28-B272-022E6A2BEBB1}"/>
  </bookViews>
  <sheets>
    <sheet name="Indemnité d'entretiens " sheetId="4" r:id="rId1"/>
    <sheet name="Entretien minimum par jour" sheetId="3" r:id="rId2"/>
    <sheet name="Paramètres" sheetId="2" r:id="rId3"/>
    <sheet name="Indemnité d'entretiens" sheetId="1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E8" i="3" l="1"/>
  <c r="AE7" i="3"/>
  <c r="BA18" i="4"/>
  <c r="BB18" i="4" s="1"/>
  <c r="BA19" i="4"/>
  <c r="BB19" i="4" s="1"/>
  <c r="BA20" i="4"/>
  <c r="BB20" i="4" s="1"/>
  <c r="BA21" i="4"/>
  <c r="BB21" i="4" s="1"/>
  <c r="BA22" i="4"/>
  <c r="BB22" i="4" s="1"/>
  <c r="BA23" i="4"/>
  <c r="BB23" i="4" s="1"/>
  <c r="BA24" i="4"/>
  <c r="BB24" i="4" s="1"/>
  <c r="BA25" i="4"/>
  <c r="BB25" i="4" s="1"/>
  <c r="BA26" i="4"/>
  <c r="BB26" i="4" s="1"/>
  <c r="BA17" i="4"/>
  <c r="BB17" i="4" s="1"/>
  <c r="BN4" i="4"/>
  <c r="BN3" i="4"/>
  <c r="E44" i="1"/>
  <c r="D44" i="1"/>
  <c r="AK42" i="1"/>
  <c r="AK41" i="1"/>
  <c r="AK40" i="1"/>
  <c r="AK39" i="1"/>
  <c r="AK38" i="1"/>
  <c r="AK37" i="1"/>
  <c r="AK36" i="1"/>
  <c r="AK35" i="1"/>
  <c r="AK34" i="1"/>
  <c r="AK33" i="1"/>
  <c r="AK32" i="1"/>
  <c r="AK31" i="1"/>
  <c r="AK30" i="1"/>
  <c r="AK29" i="1"/>
  <c r="AK28" i="1"/>
  <c r="AK27" i="1"/>
  <c r="AK26" i="1"/>
  <c r="AK25" i="1"/>
  <c r="AK24" i="1"/>
  <c r="AK23" i="1"/>
  <c r="AK22" i="1"/>
  <c r="AK21" i="1"/>
  <c r="AK20" i="1"/>
  <c r="AK19" i="1"/>
  <c r="AK18" i="1"/>
  <c r="AK17" i="1"/>
  <c r="AK16" i="1"/>
  <c r="AK15" i="1"/>
  <c r="AK14" i="1"/>
  <c r="AK13" i="1"/>
  <c r="AK12" i="1"/>
  <c r="E8" i="1"/>
  <c r="AB24" i="3"/>
  <c r="AC24" i="3" s="1"/>
  <c r="B24" i="3" s="1"/>
  <c r="AB25" i="3"/>
  <c r="AC25" i="3" s="1"/>
  <c r="B25" i="3" s="1"/>
  <c r="AB26" i="3"/>
  <c r="AC26" i="3" s="1"/>
  <c r="B26" i="3" s="1"/>
  <c r="AB27" i="3"/>
  <c r="AC27" i="3" s="1"/>
  <c r="B27" i="3" s="1"/>
  <c r="AB28" i="3"/>
  <c r="AC28" i="3" s="1"/>
  <c r="B28" i="3" s="1"/>
  <c r="AB29" i="3"/>
  <c r="AC29" i="3" s="1"/>
  <c r="B29" i="3" s="1"/>
  <c r="AB30" i="3"/>
  <c r="AC30" i="3" s="1"/>
  <c r="B30" i="3" s="1"/>
  <c r="AB31" i="3"/>
  <c r="AC31" i="3" s="1"/>
  <c r="B31" i="3" s="1"/>
  <c r="AB32" i="3"/>
  <c r="AC32" i="3"/>
  <c r="B32" i="3" s="1"/>
  <c r="AB33" i="3"/>
  <c r="AC33" i="3" s="1"/>
  <c r="B33" i="3" s="1"/>
  <c r="AB34" i="3"/>
  <c r="AC34" i="3" s="1"/>
  <c r="B34" i="3" s="1"/>
  <c r="AB35" i="3"/>
  <c r="AC35" i="3" s="1"/>
  <c r="B35" i="3" s="1"/>
  <c r="AB36" i="3"/>
  <c r="AC36" i="3" s="1"/>
  <c r="B36" i="3" s="1"/>
  <c r="AB37" i="3"/>
  <c r="AC37" i="3" s="1"/>
  <c r="B37" i="3" s="1"/>
  <c r="AB38" i="3"/>
  <c r="AC38" i="3" s="1"/>
  <c r="B38" i="3" s="1"/>
  <c r="AB39" i="3"/>
  <c r="AC39" i="3" s="1"/>
  <c r="B39" i="3" s="1"/>
  <c r="AB40" i="3"/>
  <c r="AC40" i="3" s="1"/>
  <c r="B40" i="3" s="1"/>
  <c r="AB41" i="3"/>
  <c r="AC41" i="3" s="1"/>
  <c r="B41" i="3" s="1"/>
  <c r="AB13" i="3"/>
  <c r="AC13" i="3" s="1"/>
  <c r="B13" i="3" s="1"/>
  <c r="AB14" i="3"/>
  <c r="AC14" i="3" s="1"/>
  <c r="B14" i="3" s="1"/>
  <c r="AB15" i="3"/>
  <c r="AC15" i="3" s="1"/>
  <c r="B15" i="3" s="1"/>
  <c r="AB16" i="3"/>
  <c r="AC16" i="3" s="1"/>
  <c r="B16" i="3" s="1"/>
  <c r="AB17" i="3"/>
  <c r="AC17" i="3" s="1"/>
  <c r="B17" i="3" s="1"/>
  <c r="AB18" i="3"/>
  <c r="AC18" i="3" s="1"/>
  <c r="B18" i="3" s="1"/>
  <c r="AB19" i="3"/>
  <c r="AC19" i="3" s="1"/>
  <c r="B19" i="3" s="1"/>
  <c r="AB20" i="3"/>
  <c r="AC20" i="3" s="1"/>
  <c r="B20" i="3" s="1"/>
  <c r="AB21" i="3"/>
  <c r="AC21" i="3" s="1"/>
  <c r="B21" i="3" s="1"/>
  <c r="AB22" i="3"/>
  <c r="AC22" i="3" s="1"/>
  <c r="B22" i="3" s="1"/>
  <c r="AB23" i="3"/>
  <c r="AC23" i="3" s="1"/>
  <c r="B23" i="3" s="1"/>
  <c r="AB12" i="3"/>
  <c r="AC12" i="3" s="1"/>
  <c r="B12" i="3" s="1"/>
  <c r="D24" i="4" l="1"/>
  <c r="D20" i="4"/>
  <c r="I25" i="4"/>
  <c r="BI25" i="4" s="1"/>
  <c r="I21" i="4"/>
  <c r="BI21" i="4" s="1"/>
  <c r="D23" i="4"/>
  <c r="D19" i="4"/>
  <c r="I24" i="4"/>
  <c r="BI24" i="4" s="1"/>
  <c r="I20" i="4"/>
  <c r="BI20" i="4" s="1"/>
  <c r="D26" i="4"/>
  <c r="D22" i="4"/>
  <c r="I23" i="4"/>
  <c r="BI23" i="4" s="1"/>
  <c r="I19" i="4"/>
  <c r="BI19" i="4" s="1"/>
  <c r="D25" i="4"/>
  <c r="D21" i="4"/>
  <c r="I26" i="4"/>
  <c r="BI26" i="4" s="1"/>
  <c r="I22" i="4"/>
  <c r="BI22" i="4" s="1"/>
  <c r="I18" i="4"/>
  <c r="BI18" i="4" s="1"/>
  <c r="BN1" i="4"/>
  <c r="AE5" i="3"/>
  <c r="L29" i="1"/>
  <c r="K29" i="1"/>
  <c r="N29" i="1" s="1"/>
  <c r="F6" i="2"/>
  <c r="D6" i="2" s="1"/>
  <c r="G6" i="2" s="1"/>
  <c r="E6" i="2" s="1"/>
  <c r="F7" i="2"/>
  <c r="D7" i="2" s="1"/>
  <c r="G7" i="2" s="1"/>
  <c r="E7" i="2" s="1"/>
  <c r="F8" i="2"/>
  <c r="D8" i="2" s="1"/>
  <c r="G8" i="2" s="1"/>
  <c r="E8" i="2" s="1"/>
  <c r="F9" i="2"/>
  <c r="D9" i="2" s="1"/>
  <c r="G9" i="2" s="1"/>
  <c r="E9" i="2" s="1"/>
  <c r="F10" i="2"/>
  <c r="D10" i="2" s="1"/>
  <c r="G10" i="2" s="1"/>
  <c r="E10" i="2" s="1"/>
  <c r="F11" i="2"/>
  <c r="D11" i="2" s="1"/>
  <c r="G11" i="2" s="1"/>
  <c r="E11" i="2" s="1"/>
  <c r="F12" i="2"/>
  <c r="D12" i="2" s="1"/>
  <c r="G12" i="2" s="1"/>
  <c r="E12" i="2" s="1"/>
  <c r="F13" i="2"/>
  <c r="D13" i="2" s="1"/>
  <c r="G13" i="2" s="1"/>
  <c r="E13" i="2" s="1"/>
  <c r="F14" i="2"/>
  <c r="D14" i="2" s="1"/>
  <c r="G14" i="2" s="1"/>
  <c r="E14" i="2" s="1"/>
  <c r="F15" i="2"/>
  <c r="D15" i="2" s="1"/>
  <c r="G15" i="2" s="1"/>
  <c r="E15" i="2" s="1"/>
  <c r="F16" i="2"/>
  <c r="D16" i="2" s="1"/>
  <c r="G16" i="2" s="1"/>
  <c r="E16" i="2" s="1"/>
  <c r="F17" i="2"/>
  <c r="D17" i="2" s="1"/>
  <c r="G17" i="2" s="1"/>
  <c r="E17" i="2" s="1"/>
  <c r="F18" i="2"/>
  <c r="D18" i="2" s="1"/>
  <c r="G18" i="2" s="1"/>
  <c r="E18" i="2" s="1"/>
  <c r="F19" i="2"/>
  <c r="D19" i="2" s="1"/>
  <c r="G19" i="2" s="1"/>
  <c r="E19" i="2" s="1"/>
  <c r="F20" i="2"/>
  <c r="D20" i="2" s="1"/>
  <c r="G20" i="2" s="1"/>
  <c r="E20" i="2" s="1"/>
  <c r="F5" i="2"/>
  <c r="D5" i="2" s="1"/>
  <c r="BN6" i="4" l="1"/>
  <c r="BD17" i="4" s="1"/>
  <c r="BE17" i="4" s="1"/>
  <c r="I17" i="4" s="1"/>
  <c r="BI17" i="4" s="1"/>
  <c r="A28" i="4" s="1"/>
  <c r="AH9" i="3"/>
  <c r="AH8" i="3"/>
  <c r="AH7" i="3"/>
  <c r="M29" i="1"/>
  <c r="M31" i="1" s="1"/>
  <c r="G5" i="2"/>
  <c r="I11" i="4" l="1"/>
  <c r="BG21" i="4"/>
  <c r="BD18" i="4"/>
  <c r="BE18" i="4" s="1"/>
  <c r="BD26" i="4"/>
  <c r="BE26" i="4" s="1"/>
  <c r="BD22" i="4"/>
  <c r="BE22" i="4" s="1"/>
  <c r="BG26" i="4"/>
  <c r="BD24" i="4"/>
  <c r="BE24" i="4" s="1"/>
  <c r="BG23" i="4"/>
  <c r="BG19" i="4"/>
  <c r="BG17" i="4"/>
  <c r="BH17" i="4" s="1"/>
  <c r="D17" i="4" s="1"/>
  <c r="BD20" i="4"/>
  <c r="BE20" i="4" s="1"/>
  <c r="BG18" i="4"/>
  <c r="D18" i="4" s="1"/>
  <c r="BD25" i="4"/>
  <c r="BE25" i="4" s="1"/>
  <c r="BD21" i="4"/>
  <c r="BE21" i="4" s="1"/>
  <c r="BG22" i="4"/>
  <c r="BD23" i="4"/>
  <c r="BE23" i="4" s="1"/>
  <c r="BG20" i="4"/>
  <c r="BD19" i="4"/>
  <c r="BE19" i="4" s="1"/>
  <c r="BG25" i="4"/>
  <c r="BG24" i="4"/>
  <c r="C15" i="3"/>
  <c r="C19" i="3"/>
  <c r="C23" i="3"/>
  <c r="C27" i="3"/>
  <c r="C31" i="3"/>
  <c r="C35" i="3"/>
  <c r="C39" i="3"/>
  <c r="C16" i="3"/>
  <c r="C20" i="3"/>
  <c r="C24" i="3"/>
  <c r="C28" i="3"/>
  <c r="C32" i="3"/>
  <c r="C36" i="3"/>
  <c r="C40" i="3"/>
  <c r="C22" i="3"/>
  <c r="C30" i="3"/>
  <c r="C38" i="3"/>
  <c r="C13" i="3"/>
  <c r="C17" i="3"/>
  <c r="C21" i="3"/>
  <c r="C25" i="3"/>
  <c r="C29" i="3"/>
  <c r="C33" i="3"/>
  <c r="C37" i="3"/>
  <c r="C41" i="3"/>
  <c r="C14" i="3"/>
  <c r="C18" i="3"/>
  <c r="C26" i="3"/>
  <c r="C34" i="3"/>
  <c r="C12" i="3"/>
  <c r="E5" i="2"/>
  <c r="F4" i="2"/>
  <c r="F3" i="2"/>
  <c r="BH26" i="4" l="1"/>
  <c r="BH22" i="4"/>
  <c r="BH24" i="4"/>
  <c r="BH18" i="4"/>
  <c r="BH23" i="4"/>
  <c r="BH20" i="4"/>
  <c r="BH25" i="4"/>
  <c r="BH21" i="4"/>
  <c r="BH19" i="4"/>
  <c r="D4" i="2"/>
  <c r="G4" i="2" s="1"/>
  <c r="E4" i="2" s="1"/>
  <c r="D3" i="2"/>
  <c r="G3" i="2" l="1"/>
  <c r="E3" i="2" s="1"/>
  <c r="AG4" i="1" l="1"/>
  <c r="AG3" i="1"/>
  <c r="AG1" i="1" l="1"/>
  <c r="AK44" i="1"/>
  <c r="G17" i="1" l="1"/>
  <c r="G16" i="1"/>
  <c r="L16" i="1"/>
  <c r="L17" i="1"/>
  <c r="AG6" i="1"/>
  <c r="A10" i="1"/>
  <c r="C14" i="1"/>
  <c r="B14" i="1" s="1"/>
  <c r="C18" i="1"/>
  <c r="B18" i="1" s="1"/>
  <c r="C22" i="1"/>
  <c r="B22" i="1" s="1"/>
  <c r="C26" i="1"/>
  <c r="B26" i="1" s="1"/>
  <c r="C30" i="1"/>
  <c r="B30" i="1" s="1"/>
  <c r="C33" i="1"/>
  <c r="B33" i="1" s="1"/>
  <c r="C37" i="1"/>
  <c r="B37" i="1" s="1"/>
  <c r="F6" i="1"/>
  <c r="G6" i="1" s="1"/>
  <c r="C13" i="1"/>
  <c r="B13" i="1" s="1"/>
  <c r="C17" i="1"/>
  <c r="B17" i="1" s="1"/>
  <c r="C21" i="1"/>
  <c r="B21" i="1" s="1"/>
  <c r="C25" i="1"/>
  <c r="B25" i="1" s="1"/>
  <c r="C29" i="1"/>
  <c r="B29" i="1" s="1"/>
  <c r="C32" i="1"/>
  <c r="B32" i="1" s="1"/>
  <c r="B12" i="1"/>
  <c r="C15" i="1"/>
  <c r="B15" i="1" s="1"/>
  <c r="C19" i="1"/>
  <c r="B19" i="1" s="1"/>
  <c r="C23" i="1"/>
  <c r="B23" i="1" s="1"/>
  <c r="C27" i="1"/>
  <c r="B27" i="1" s="1"/>
  <c r="C34" i="1"/>
  <c r="B34" i="1" s="1"/>
  <c r="C38" i="1"/>
  <c r="B38" i="1" s="1"/>
  <c r="C12" i="1"/>
  <c r="C16" i="1"/>
  <c r="B16" i="1" s="1"/>
  <c r="C20" i="1"/>
  <c r="B20" i="1" s="1"/>
  <c r="C24" i="1"/>
  <c r="B24" i="1" s="1"/>
  <c r="C28" i="1"/>
  <c r="B28" i="1" s="1"/>
  <c r="C31" i="1"/>
  <c r="B31" i="1" s="1"/>
  <c r="C35" i="1"/>
  <c r="B35" i="1" s="1"/>
  <c r="C36" i="1"/>
  <c r="B36" i="1" s="1"/>
  <c r="N17" i="1" l="1"/>
  <c r="K16" i="1"/>
  <c r="C41" i="1"/>
  <c r="B41" i="1" s="1"/>
  <c r="C42" i="1"/>
  <c r="B42" i="1" s="1"/>
  <c r="C40" i="1"/>
  <c r="B40" i="1" s="1"/>
  <c r="K17" i="1"/>
  <c r="M17" i="1" s="1"/>
  <c r="C39" i="1"/>
  <c r="B39" i="1" s="1"/>
  <c r="M16" i="1" l="1"/>
  <c r="M19" i="1" s="1"/>
  <c r="N1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DAVID</author>
  </authors>
  <commentList>
    <comment ref="BN1" authorId="0" shapeId="0" xr:uid="{890618C2-131B-439A-BDB0-0B7F7BA6B2E7}">
      <text>
        <r>
          <rPr>
            <sz val="8"/>
            <color indexed="81"/>
            <rFont val="Tahoma"/>
            <family val="2"/>
          </rPr>
          <t xml:space="preserve">Mettre la date du 1er du mois.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DAVID</author>
  </authors>
  <commentList>
    <comment ref="AG1" authorId="0" shapeId="0" xr:uid="{B766B935-7890-4DE7-934E-546C673231BA}">
      <text>
        <r>
          <rPr>
            <sz val="8"/>
            <color indexed="81"/>
            <rFont val="Tahoma"/>
            <family val="2"/>
          </rPr>
          <t xml:space="preserve">Mettre la date du 1er du mois.
</t>
        </r>
      </text>
    </comment>
  </commentList>
</comments>
</file>

<file path=xl/sharedStrings.xml><?xml version="1.0" encoding="utf-8"?>
<sst xmlns="http://schemas.openxmlformats.org/spreadsheetml/2006/main" count="116" uniqueCount="76">
  <si>
    <t>Total hrs :</t>
  </si>
  <si>
    <t>Calcul de l'indemnité d'entretien</t>
  </si>
  <si>
    <t xml:space="preserve">Date : </t>
  </si>
  <si>
    <t>Mois :</t>
  </si>
  <si>
    <t>Année :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</si>
  <si>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</si>
  <si>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</si>
  <si>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</si>
  <si>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</si>
  <si>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</si>
  <si>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</si>
  <si>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</si>
  <si>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</si>
  <si>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</si>
  <si>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</si>
  <si>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</si>
  <si>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</si>
  <si>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mois</t>
  </si>
  <si>
    <t>année</t>
  </si>
  <si>
    <t>Date</t>
  </si>
  <si>
    <t>IE conventionnelle</t>
  </si>
  <si>
    <t>IE légale</t>
  </si>
  <si>
    <t>Heures</t>
  </si>
  <si>
    <t>Minutes</t>
  </si>
  <si>
    <t>Centième</t>
  </si>
  <si>
    <t>Base</t>
  </si>
  <si>
    <t>Taux</t>
  </si>
  <si>
    <t>Montant</t>
  </si>
  <si>
    <t>Heures en centièmes :</t>
  </si>
  <si>
    <t>Total :</t>
  </si>
  <si>
    <t>L'indemnité d'entretien est fixe pour une journée d'accueil :</t>
  </si>
  <si>
    <t>Si vous avez choisi l'indemnité fixe, le montant et le calcul seront :</t>
  </si>
  <si>
    <t>Montant de l'indemnité d'entretien :</t>
  </si>
  <si>
    <t>Journée d'accueil (peu importe sa durée)</t>
  </si>
  <si>
    <t>Nbre de jours</t>
  </si>
  <si>
    <t>Syndicat national FO Assistant(e)s Maternel(e)s        www.assistantematernelle.info</t>
  </si>
  <si>
    <t>Durée de la journée</t>
  </si>
  <si>
    <t>minimum conventionnel</t>
  </si>
  <si>
    <t>minimum légale</t>
  </si>
  <si>
    <t>centième</t>
  </si>
  <si>
    <t>Montant de l'indemnité d'entretien pour une journée</t>
  </si>
  <si>
    <t>L'indemnité d'entretien minimum obligatoire</t>
  </si>
  <si>
    <t>L'indemnité d'entretien minimum obligatoire :</t>
  </si>
  <si>
    <t>Si vous avez choisi l'indemnité minimum, le montant et le calcul seront :</t>
  </si>
  <si>
    <r>
      <t xml:space="preserve">Nombre d'heures réalisées </t>
    </r>
    <r>
      <rPr>
        <b/>
        <sz val="10"/>
        <rFont val="Arial"/>
        <family val="2"/>
      </rPr>
      <t>(en centième)</t>
    </r>
  </si>
  <si>
    <t>Choisir le format de saisie :</t>
  </si>
  <si>
    <t>En centième</t>
  </si>
  <si>
    <t>HH:MM (Heures et minutes)</t>
  </si>
  <si>
    <r>
      <t xml:space="preserve">Nombre d'heures réalisées </t>
    </r>
    <r>
      <rPr>
        <b/>
        <sz val="10"/>
        <rFont val="Arial"/>
        <family val="2"/>
      </rPr>
      <t>(Heures et minutes)</t>
    </r>
  </si>
  <si>
    <t xml:space="preserve">Réponse : </t>
  </si>
  <si>
    <t>Jour</t>
  </si>
  <si>
    <t>Heure</t>
  </si>
  <si>
    <t>Durée 1</t>
  </si>
  <si>
    <t>Durée 2</t>
  </si>
  <si>
    <t>Durée 3</t>
  </si>
  <si>
    <t>Durée 4</t>
  </si>
  <si>
    <t>Durée 5</t>
  </si>
  <si>
    <t>Durée 6</t>
  </si>
  <si>
    <t>Durée 7</t>
  </si>
  <si>
    <t>Durée 8</t>
  </si>
  <si>
    <t>Durée 9</t>
  </si>
  <si>
    <t>Durée 10</t>
  </si>
  <si>
    <t>Nombre d'heures</t>
  </si>
  <si>
    <t>Nombre de minutes</t>
  </si>
  <si>
    <t>Indemnités</t>
  </si>
  <si>
    <t>Montant de l'indemnité retenue</t>
  </si>
  <si>
    <t>Nombre de jours de même durée dans le mois</t>
  </si>
  <si>
    <t>Durée de la journée :</t>
  </si>
  <si>
    <t>Quelle indemnité utilisez vous ? (Conventionnelle/Légale, Contractuelle)</t>
  </si>
  <si>
    <t>Conventionnelle / Légale</t>
  </si>
  <si>
    <t>Contractuelle</t>
  </si>
  <si>
    <t>Si contractuelle, précisez son montant par jour ?</t>
  </si>
  <si>
    <t>légale/contractuelle</t>
  </si>
  <si>
    <t>contractuelle</t>
  </si>
  <si>
    <t>TOTAL :</t>
  </si>
  <si>
    <t>Syndicat national FO des emplois de la famille       www.emploisdelafamille-fo.fr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</si>
</sst>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8" formatCode="#,##0.00\ &quot;€&quot;;[Red]\-#,##0.00\ &quot;€&quot;"/>
    <numFmt numFmtId="164" formatCode="#,##0.00\ &quot;€&quot;"/>
    <numFmt numFmtId="165" formatCode="0.00&quot; hrs&quot;"/>
    <numFmt numFmtId="166" formatCode="mmmm\-yyyy"/>
    <numFmt numFmtId="167" formatCode="d"/>
    <numFmt numFmtId="168" formatCode="ddd"/>
    <numFmt numFmtId="169" formatCode="#,##0.000\ &quot;€&quot;"/>
    <numFmt numFmtId="170" formatCode="0&quot; jrs&quot;"/>
    <numFmt numFmtId="171" formatCode="0&quot; hrs&quot;"/>
    <numFmt numFmtId="172" formatCode="0&quot; min&quot;"/>
    <numFmt numFmtId="173" formatCode="h:mm;@"/>
  </numFmts>
  <fonts count="22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10"/>
      <name val="Arial"/>
      <family val="2"/>
    </font>
    <font>
      <sz val="10"/>
      <color theme="0"/>
      <name val="Arial"/>
      <family val="2"/>
    </font>
    <font>
      <sz val="10"/>
      <color indexed="9"/>
      <name val="Arial"/>
      <family val="2"/>
    </font>
    <font>
      <b/>
      <sz val="10"/>
      <name val="Arial"/>
      <family val="2"/>
    </font>
    <font>
      <sz val="8"/>
      <color indexed="81"/>
      <name val="Tahoma"/>
      <family val="2"/>
    </font>
    <font>
      <sz val="8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4" tint="-0.249977111117893"/>
      <name val="Arial"/>
      <family val="2"/>
    </font>
    <font>
      <sz val="10"/>
      <color theme="4" tint="-0.249977111117893"/>
      <name val="Arial"/>
      <family val="2"/>
    </font>
    <font>
      <b/>
      <sz val="10"/>
      <color theme="5" tint="-0.249977111117893"/>
      <name val="Arial"/>
      <family val="2"/>
    </font>
    <font>
      <sz val="10"/>
      <color theme="5" tint="-0.249977111117893"/>
      <name val="Arial"/>
      <family val="2"/>
    </font>
    <font>
      <b/>
      <sz val="10"/>
      <color rgb="FF7030A0"/>
      <name val="Arial"/>
      <family val="2"/>
    </font>
    <font>
      <sz val="10"/>
      <color rgb="FF7030A0"/>
      <name val="Arial"/>
      <family val="2"/>
    </font>
    <font>
      <b/>
      <i/>
      <sz val="10"/>
      <color rgb="FFEE2224"/>
      <name val="Arial"/>
      <family val="2"/>
    </font>
    <font>
      <b/>
      <sz val="11"/>
      <color theme="1"/>
      <name val="Arial"/>
      <family val="2"/>
    </font>
    <font>
      <b/>
      <u/>
      <sz val="10"/>
      <color theme="1"/>
      <name val="Arial"/>
      <family val="2"/>
    </font>
    <font>
      <b/>
      <sz val="14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15C5A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/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4">
    <xf numFmtId="0" fontId="0" fillId="0" borderId="0" xfId="0"/>
    <xf numFmtId="0" fontId="0" fillId="0" borderId="0" xfId="0" applyProtection="1">
      <protection hidden="1"/>
    </xf>
    <xf numFmtId="0" fontId="0" fillId="0" borderId="20" xfId="0" applyBorder="1" applyAlignment="1" applyProtection="1">
      <alignment horizontal="center"/>
      <protection hidden="1"/>
    </xf>
    <xf numFmtId="0" fontId="0" fillId="0" borderId="21" xfId="0" applyBorder="1" applyAlignment="1" applyProtection="1">
      <alignment horizontal="center"/>
      <protection hidden="1"/>
    </xf>
    <xf numFmtId="0" fontId="0" fillId="0" borderId="22" xfId="0" applyBorder="1" applyAlignment="1" applyProtection="1">
      <alignment horizontal="center"/>
      <protection hidden="1"/>
    </xf>
    <xf numFmtId="14" fontId="0" fillId="0" borderId="23" xfId="0" applyNumberFormat="1" applyBorder="1" applyProtection="1">
      <protection hidden="1"/>
    </xf>
    <xf numFmtId="0" fontId="0" fillId="0" borderId="24" xfId="0" applyBorder="1" applyProtection="1">
      <protection hidden="1"/>
    </xf>
    <xf numFmtId="0" fontId="0" fillId="0" borderId="26" xfId="0" applyBorder="1" applyProtection="1">
      <protection hidden="1"/>
    </xf>
    <xf numFmtId="0" fontId="0" fillId="0" borderId="27" xfId="0" applyBorder="1" applyProtection="1">
      <protection hidden="1"/>
    </xf>
    <xf numFmtId="0" fontId="0" fillId="0" borderId="26" xfId="0" applyBorder="1" applyAlignment="1" applyProtection="1">
      <alignment horizontal="right"/>
      <protection hidden="1"/>
    </xf>
    <xf numFmtId="0" fontId="0" fillId="2" borderId="23" xfId="0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8" fillId="0" borderId="0" xfId="0" applyFont="1" applyProtection="1">
      <protection hidden="1"/>
    </xf>
    <xf numFmtId="14" fontId="8" fillId="0" borderId="0" xfId="0" applyNumberFormat="1" applyFont="1" applyProtection="1">
      <protection hidden="1"/>
    </xf>
    <xf numFmtId="0" fontId="2" fillId="0" borderId="0" xfId="0" applyFont="1" applyProtection="1">
      <protection hidden="1"/>
    </xf>
    <xf numFmtId="0" fontId="5" fillId="0" borderId="0" xfId="0" applyFont="1" applyAlignment="1" applyProtection="1">
      <alignment horizontal="center"/>
      <protection hidden="1"/>
    </xf>
    <xf numFmtId="0" fontId="9" fillId="0" borderId="0" xfId="0" applyFont="1" applyProtection="1">
      <protection hidden="1"/>
    </xf>
    <xf numFmtId="0" fontId="10" fillId="0" borderId="0" xfId="0" applyFont="1" applyAlignment="1" applyProtection="1">
      <alignment horizontal="left"/>
      <protection hidden="1"/>
    </xf>
    <xf numFmtId="0" fontId="5" fillId="0" borderId="0" xfId="0" applyFont="1" applyAlignment="1" applyProtection="1">
      <alignment horizontal="right"/>
      <protection hidden="1"/>
    </xf>
    <xf numFmtId="14" fontId="9" fillId="0" borderId="0" xfId="0" applyNumberFormat="1" applyFont="1" applyProtection="1">
      <protection hidden="1"/>
    </xf>
    <xf numFmtId="166" fontId="9" fillId="0" borderId="0" xfId="0" applyNumberFormat="1" applyFont="1" applyProtection="1">
      <protection hidden="1"/>
    </xf>
    <xf numFmtId="166" fontId="3" fillId="0" borderId="0" xfId="0" applyNumberFormat="1" applyFont="1" applyProtection="1">
      <protection hidden="1"/>
    </xf>
    <xf numFmtId="167" fontId="3" fillId="0" borderId="0" xfId="0" applyNumberFormat="1" applyFont="1" applyProtection="1">
      <protection hidden="1"/>
    </xf>
    <xf numFmtId="0" fontId="2" fillId="0" borderId="0" xfId="0" applyFont="1" applyAlignment="1" applyProtection="1">
      <alignment horizontal="right"/>
      <protection hidden="1"/>
    </xf>
    <xf numFmtId="166" fontId="9" fillId="0" borderId="0" xfId="0" applyNumberFormat="1" applyFont="1" applyAlignment="1" applyProtection="1">
      <alignment horizontal="center"/>
      <protection hidden="1"/>
    </xf>
    <xf numFmtId="0" fontId="2" fillId="0" borderId="1" xfId="0" applyFont="1" applyBorder="1" applyAlignment="1" applyProtection="1">
      <alignment horizontal="center" vertical="center" wrapText="1"/>
      <protection hidden="1"/>
    </xf>
    <xf numFmtId="14" fontId="4" fillId="0" borderId="0" xfId="0" applyNumberFormat="1" applyFont="1" applyProtection="1">
      <protection hidden="1"/>
    </xf>
    <xf numFmtId="0" fontId="12" fillId="0" borderId="0" xfId="0" applyFont="1" applyProtection="1">
      <protection hidden="1"/>
    </xf>
    <xf numFmtId="0" fontId="13" fillId="0" borderId="0" xfId="0" applyFont="1" applyProtection="1">
      <protection hidden="1"/>
    </xf>
    <xf numFmtId="168" fontId="9" fillId="0" borderId="6" xfId="0" applyNumberFormat="1" applyFont="1" applyBorder="1" applyProtection="1">
      <protection hidden="1"/>
    </xf>
    <xf numFmtId="167" fontId="9" fillId="0" borderId="7" xfId="0" applyNumberFormat="1" applyFont="1" applyBorder="1" applyProtection="1">
      <protection hidden="1"/>
    </xf>
    <xf numFmtId="0" fontId="13" fillId="0" borderId="0" xfId="0" applyFont="1" applyAlignment="1" applyProtection="1">
      <alignment horizontal="right"/>
      <protection hidden="1"/>
    </xf>
    <xf numFmtId="0" fontId="13" fillId="0" borderId="0" xfId="0" applyFont="1" applyAlignment="1" applyProtection="1">
      <alignment horizontal="left"/>
      <protection hidden="1"/>
    </xf>
    <xf numFmtId="0" fontId="13" fillId="0" borderId="13" xfId="0" applyFont="1" applyBorder="1" applyAlignment="1" applyProtection="1">
      <alignment horizontal="center"/>
      <protection hidden="1"/>
    </xf>
    <xf numFmtId="0" fontId="13" fillId="0" borderId="17" xfId="0" applyFont="1" applyBorder="1" applyAlignment="1" applyProtection="1">
      <alignment horizontal="center"/>
      <protection hidden="1"/>
    </xf>
    <xf numFmtId="0" fontId="13" fillId="0" borderId="14" xfId="0" applyFont="1" applyBorder="1" applyAlignment="1" applyProtection="1">
      <alignment horizontal="center"/>
      <protection hidden="1"/>
    </xf>
    <xf numFmtId="0" fontId="13" fillId="0" borderId="12" xfId="0" applyFont="1" applyBorder="1" applyAlignment="1" applyProtection="1">
      <alignment horizontal="center"/>
      <protection hidden="1"/>
    </xf>
    <xf numFmtId="170" fontId="13" fillId="0" borderId="13" xfId="0" applyNumberFormat="1" applyFont="1" applyBorder="1" applyProtection="1">
      <protection hidden="1"/>
    </xf>
    <xf numFmtId="169" fontId="13" fillId="0" borderId="17" xfId="0" applyNumberFormat="1" applyFont="1" applyBorder="1" applyProtection="1">
      <protection hidden="1"/>
    </xf>
    <xf numFmtId="164" fontId="13" fillId="0" borderId="14" xfId="0" applyNumberFormat="1" applyFont="1" applyBorder="1" applyProtection="1">
      <protection hidden="1"/>
    </xf>
    <xf numFmtId="170" fontId="13" fillId="0" borderId="28" xfId="0" applyNumberFormat="1" applyFont="1" applyBorder="1" applyProtection="1">
      <protection hidden="1"/>
    </xf>
    <xf numFmtId="165" fontId="13" fillId="0" borderId="15" xfId="0" applyNumberFormat="1" applyFont="1" applyBorder="1" applyProtection="1">
      <protection hidden="1"/>
    </xf>
    <xf numFmtId="169" fontId="13" fillId="0" borderId="18" xfId="0" applyNumberFormat="1" applyFont="1" applyBorder="1" applyProtection="1">
      <protection hidden="1"/>
    </xf>
    <xf numFmtId="164" fontId="13" fillId="0" borderId="16" xfId="0" applyNumberFormat="1" applyFont="1" applyBorder="1" applyProtection="1">
      <protection hidden="1"/>
    </xf>
    <xf numFmtId="170" fontId="13" fillId="0" borderId="18" xfId="0" applyNumberFormat="1" applyFont="1" applyBorder="1" applyProtection="1">
      <protection hidden="1"/>
    </xf>
    <xf numFmtId="0" fontId="12" fillId="0" borderId="19" xfId="0" applyFont="1" applyBorder="1" applyProtection="1">
      <protection hidden="1"/>
    </xf>
    <xf numFmtId="164" fontId="12" fillId="0" borderId="12" xfId="0" applyNumberFormat="1" applyFont="1" applyBorder="1" applyProtection="1">
      <protection hidden="1"/>
    </xf>
    <xf numFmtId="0" fontId="9" fillId="0" borderId="0" xfId="0" applyFont="1" applyAlignment="1" applyProtection="1">
      <alignment horizontal="right"/>
      <protection hidden="1"/>
    </xf>
    <xf numFmtId="165" fontId="5" fillId="0" borderId="0" xfId="0" applyNumberFormat="1" applyFont="1" applyAlignment="1" applyProtection="1">
      <alignment horizontal="left"/>
      <protection hidden="1"/>
    </xf>
    <xf numFmtId="0" fontId="16" fillId="0" borderId="0" xfId="0" applyFont="1" applyProtection="1">
      <protection hidden="1"/>
    </xf>
    <xf numFmtId="0" fontId="17" fillId="0" borderId="0" xfId="0" applyFont="1" applyProtection="1">
      <protection hidden="1"/>
    </xf>
    <xf numFmtId="0" fontId="17" fillId="0" borderId="12" xfId="0" applyFont="1" applyBorder="1" applyAlignment="1" applyProtection="1">
      <alignment horizontal="center"/>
      <protection hidden="1"/>
    </xf>
    <xf numFmtId="170" fontId="17" fillId="0" borderId="12" xfId="0" applyNumberFormat="1" applyFont="1" applyBorder="1" applyProtection="1">
      <protection hidden="1"/>
    </xf>
    <xf numFmtId="169" fontId="17" fillId="0" borderId="12" xfId="0" applyNumberFormat="1" applyFont="1" applyBorder="1" applyProtection="1">
      <protection hidden="1"/>
    </xf>
    <xf numFmtId="164" fontId="17" fillId="0" borderId="12" xfId="0" applyNumberFormat="1" applyFont="1" applyBorder="1" applyProtection="1">
      <protection hidden="1"/>
    </xf>
    <xf numFmtId="0" fontId="16" fillId="0" borderId="19" xfId="0" applyFont="1" applyBorder="1" applyProtection="1">
      <protection hidden="1"/>
    </xf>
    <xf numFmtId="164" fontId="16" fillId="0" borderId="12" xfId="0" applyNumberFormat="1" applyFont="1" applyBorder="1" applyProtection="1">
      <protection hidden="1"/>
    </xf>
    <xf numFmtId="168" fontId="9" fillId="0" borderId="9" xfId="0" applyNumberFormat="1" applyFont="1" applyBorder="1" applyProtection="1">
      <protection hidden="1"/>
    </xf>
    <xf numFmtId="167" fontId="9" fillId="0" borderId="10" xfId="0" applyNumberFormat="1" applyFont="1" applyBorder="1" applyProtection="1">
      <protection hidden="1"/>
    </xf>
    <xf numFmtId="0" fontId="9" fillId="0" borderId="0" xfId="0" applyFont="1" applyAlignment="1" applyProtection="1">
      <alignment horizontal="center"/>
      <protection hidden="1"/>
    </xf>
    <xf numFmtId="0" fontId="9" fillId="0" borderId="2" xfId="0" applyFont="1" applyBorder="1" applyProtection="1">
      <protection hidden="1"/>
    </xf>
    <xf numFmtId="0" fontId="2" fillId="0" borderId="3" xfId="0" applyFont="1" applyBorder="1" applyAlignment="1" applyProtection="1">
      <alignment horizontal="right"/>
      <protection hidden="1"/>
    </xf>
    <xf numFmtId="2" fontId="9" fillId="0" borderId="1" xfId="0" applyNumberFormat="1" applyFont="1" applyBorder="1" applyAlignment="1" applyProtection="1">
      <alignment horizontal="center"/>
      <protection hidden="1"/>
    </xf>
    <xf numFmtId="2" fontId="9" fillId="0" borderId="0" xfId="0" applyNumberFormat="1" applyFont="1" applyProtection="1">
      <protection hidden="1"/>
    </xf>
    <xf numFmtId="0" fontId="9" fillId="2" borderId="12" xfId="0" applyFont="1" applyFill="1" applyBorder="1" applyAlignment="1" applyProtection="1">
      <alignment horizontal="center" vertical="center"/>
      <protection locked="0"/>
    </xf>
    <xf numFmtId="164" fontId="17" fillId="2" borderId="0" xfId="0" applyNumberFormat="1" applyFont="1" applyFill="1" applyProtection="1">
      <protection locked="0"/>
    </xf>
    <xf numFmtId="0" fontId="18" fillId="0" borderId="0" xfId="0" applyFont="1" applyProtection="1">
      <protection hidden="1"/>
    </xf>
    <xf numFmtId="0" fontId="1" fillId="0" borderId="0" xfId="0" applyFont="1" applyProtection="1">
      <protection hidden="1"/>
    </xf>
    <xf numFmtId="2" fontId="8" fillId="0" borderId="0" xfId="0" applyNumberFormat="1" applyFont="1" applyProtection="1">
      <protection hidden="1"/>
    </xf>
    <xf numFmtId="0" fontId="9" fillId="0" borderId="0" xfId="0" applyFont="1" applyAlignment="1" applyProtection="1">
      <alignment horizontal="center" vertical="center"/>
      <protection hidden="1"/>
    </xf>
    <xf numFmtId="0" fontId="19" fillId="0" borderId="1" xfId="0" applyFont="1" applyBorder="1" applyAlignment="1" applyProtection="1">
      <alignment horizontal="center" vertical="center" wrapText="1"/>
      <protection hidden="1"/>
    </xf>
    <xf numFmtId="0" fontId="8" fillId="0" borderId="29" xfId="0" applyFont="1" applyBorder="1" applyAlignment="1" applyProtection="1">
      <alignment horizontal="center" vertical="center"/>
      <protection hidden="1"/>
    </xf>
    <xf numFmtId="1" fontId="8" fillId="0" borderId="0" xfId="0" applyNumberFormat="1" applyFont="1" applyProtection="1">
      <protection hidden="1"/>
    </xf>
    <xf numFmtId="0" fontId="8" fillId="0" borderId="30" xfId="0" applyFont="1" applyBorder="1" applyAlignment="1" applyProtection="1">
      <alignment horizontal="center" vertical="center"/>
      <protection hidden="1"/>
    </xf>
    <xf numFmtId="0" fontId="8" fillId="0" borderId="31" xfId="0" applyFont="1" applyBorder="1" applyAlignment="1" applyProtection="1">
      <alignment horizontal="center" vertical="center"/>
      <protection hidden="1"/>
    </xf>
    <xf numFmtId="171" fontId="8" fillId="0" borderId="0" xfId="0" applyNumberFormat="1" applyFont="1" applyAlignment="1" applyProtection="1">
      <alignment horizontal="center"/>
      <protection hidden="1"/>
    </xf>
    <xf numFmtId="164" fontId="8" fillId="0" borderId="29" xfId="0" applyNumberFormat="1" applyFont="1" applyBorder="1" applyAlignment="1" applyProtection="1">
      <alignment horizontal="center"/>
      <protection hidden="1"/>
    </xf>
    <xf numFmtId="164" fontId="8" fillId="0" borderId="30" xfId="0" applyNumberFormat="1" applyFont="1" applyBorder="1" applyAlignment="1" applyProtection="1">
      <alignment horizontal="center"/>
      <protection hidden="1"/>
    </xf>
    <xf numFmtId="164" fontId="8" fillId="0" borderId="31" xfId="0" applyNumberFormat="1" applyFont="1" applyBorder="1" applyAlignment="1" applyProtection="1">
      <alignment horizontal="center"/>
      <protection hidden="1"/>
    </xf>
    <xf numFmtId="0" fontId="14" fillId="0" borderId="0" xfId="0" applyFont="1" applyProtection="1">
      <protection hidden="1"/>
    </xf>
    <xf numFmtId="0" fontId="15" fillId="0" borderId="0" xfId="0" applyFont="1" applyProtection="1">
      <protection hidden="1"/>
    </xf>
    <xf numFmtId="166" fontId="11" fillId="0" borderId="4" xfId="0" applyNumberFormat="1" applyFont="1" applyBorder="1" applyProtection="1">
      <protection hidden="1"/>
    </xf>
    <xf numFmtId="0" fontId="5" fillId="0" borderId="0" xfId="0" applyFont="1" applyAlignment="1" applyProtection="1">
      <alignment horizontal="right" vertical="center"/>
      <protection hidden="1"/>
    </xf>
    <xf numFmtId="168" fontId="9" fillId="0" borderId="32" xfId="0" applyNumberFormat="1" applyFont="1" applyBorder="1" applyProtection="1">
      <protection hidden="1"/>
    </xf>
    <xf numFmtId="167" fontId="9" fillId="0" borderId="33" xfId="0" applyNumberFormat="1" applyFont="1" applyBorder="1" applyProtection="1">
      <protection hidden="1"/>
    </xf>
    <xf numFmtId="166" fontId="9" fillId="0" borderId="0" xfId="0" applyNumberFormat="1" applyFont="1" applyAlignment="1" applyProtection="1">
      <alignment vertical="center"/>
      <protection hidden="1"/>
    </xf>
    <xf numFmtId="20" fontId="9" fillId="0" borderId="0" xfId="0" applyNumberFormat="1" applyFont="1" applyProtection="1">
      <protection hidden="1"/>
    </xf>
    <xf numFmtId="2" fontId="9" fillId="0" borderId="5" xfId="0" applyNumberFormat="1" applyFont="1" applyBorder="1" applyAlignment="1" applyProtection="1">
      <alignment horizontal="center"/>
      <protection locked="0"/>
    </xf>
    <xf numFmtId="2" fontId="9" fillId="0" borderId="8" xfId="0" applyNumberFormat="1" applyFont="1" applyBorder="1" applyAlignment="1" applyProtection="1">
      <alignment horizontal="center"/>
      <protection locked="0"/>
    </xf>
    <xf numFmtId="2" fontId="9" fillId="0" borderId="11" xfId="0" applyNumberFormat="1" applyFont="1" applyBorder="1" applyAlignment="1" applyProtection="1">
      <alignment horizontal="center"/>
      <protection locked="0"/>
    </xf>
    <xf numFmtId="2" fontId="9" fillId="0" borderId="5" xfId="0" applyNumberFormat="1" applyFont="1" applyBorder="1" applyAlignment="1" applyProtection="1">
      <alignment horizontal="center"/>
      <protection hidden="1"/>
    </xf>
    <xf numFmtId="2" fontId="9" fillId="0" borderId="8" xfId="0" applyNumberFormat="1" applyFont="1" applyBorder="1" applyAlignment="1" applyProtection="1">
      <alignment horizontal="center"/>
      <protection hidden="1"/>
    </xf>
    <xf numFmtId="2" fontId="9" fillId="0" borderId="11" xfId="0" applyNumberFormat="1" applyFont="1" applyBorder="1" applyAlignment="1" applyProtection="1">
      <alignment horizontal="center"/>
      <protection hidden="1"/>
    </xf>
    <xf numFmtId="20" fontId="9" fillId="0" borderId="8" xfId="0" applyNumberFormat="1" applyFont="1" applyBorder="1" applyAlignment="1" applyProtection="1">
      <alignment horizontal="center"/>
      <protection locked="0"/>
    </xf>
    <xf numFmtId="20" fontId="9" fillId="0" borderId="1" xfId="0" applyNumberFormat="1" applyFont="1" applyBorder="1" applyAlignment="1" applyProtection="1">
      <alignment horizontal="center"/>
      <protection locked="0"/>
    </xf>
    <xf numFmtId="20" fontId="9" fillId="0" borderId="5" xfId="0" applyNumberFormat="1" applyFont="1" applyBorder="1" applyAlignment="1" applyProtection="1">
      <alignment horizontal="center"/>
      <protection locked="0"/>
    </xf>
    <xf numFmtId="20" fontId="9" fillId="0" borderId="11" xfId="0" applyNumberFormat="1" applyFont="1" applyBorder="1" applyAlignment="1" applyProtection="1">
      <alignment horizontal="center"/>
      <protection locked="0"/>
    </xf>
    <xf numFmtId="0" fontId="9" fillId="2" borderId="12" xfId="0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Protection="1">
      <protection hidden="1"/>
    </xf>
    <xf numFmtId="0" fontId="11" fillId="0" borderId="0" xfId="0" applyFont="1" applyAlignment="1" applyProtection="1">
      <alignment horizontal="right"/>
      <protection hidden="1"/>
    </xf>
    <xf numFmtId="8" fontId="9" fillId="0" borderId="0" xfId="0" applyNumberFormat="1" applyFont="1" applyProtection="1">
      <protection hidden="1"/>
    </xf>
    <xf numFmtId="0" fontId="10" fillId="0" borderId="19" xfId="0" applyFont="1" applyBorder="1" applyAlignment="1" applyProtection="1">
      <alignment horizontal="center" vertical="center"/>
      <protection hidden="1"/>
    </xf>
    <xf numFmtId="0" fontId="9" fillId="0" borderId="12" xfId="0" applyFont="1" applyBorder="1" applyAlignment="1" applyProtection="1">
      <alignment horizontal="center" vertical="center" wrapText="1"/>
      <protection hidden="1"/>
    </xf>
    <xf numFmtId="0" fontId="9" fillId="0" borderId="0" xfId="0" applyFont="1" applyAlignment="1" applyProtection="1">
      <alignment vertical="center"/>
      <protection hidden="1"/>
    </xf>
    <xf numFmtId="0" fontId="9" fillId="0" borderId="0" xfId="0" applyFont="1" applyAlignment="1" applyProtection="1">
      <alignment vertical="center" wrapText="1"/>
      <protection hidden="1"/>
    </xf>
    <xf numFmtId="0" fontId="9" fillId="0" borderId="12" xfId="0" applyFont="1" applyBorder="1" applyAlignment="1" applyProtection="1">
      <alignment horizontal="center" vertical="center"/>
      <protection hidden="1"/>
    </xf>
    <xf numFmtId="164" fontId="9" fillId="0" borderId="12" xfId="0" applyNumberFormat="1" applyFont="1" applyBorder="1" applyAlignment="1" applyProtection="1">
      <alignment vertical="center"/>
      <protection hidden="1"/>
    </xf>
    <xf numFmtId="173" fontId="9" fillId="0" borderId="0" xfId="0" applyNumberFormat="1" applyFont="1" applyAlignment="1" applyProtection="1">
      <alignment vertical="center"/>
      <protection hidden="1"/>
    </xf>
    <xf numFmtId="164" fontId="9" fillId="0" borderId="0" xfId="0" applyNumberFormat="1" applyFont="1" applyAlignment="1" applyProtection="1">
      <alignment vertical="center"/>
      <protection hidden="1"/>
    </xf>
    <xf numFmtId="164" fontId="9" fillId="2" borderId="0" xfId="0" applyNumberFormat="1" applyFont="1" applyFill="1" applyProtection="1">
      <protection locked="0" hidden="1"/>
    </xf>
    <xf numFmtId="0" fontId="9" fillId="2" borderId="12" xfId="0" applyFont="1" applyFill="1" applyBorder="1" applyAlignment="1" applyProtection="1">
      <alignment horizontal="center" vertical="center"/>
      <protection locked="0" hidden="1"/>
    </xf>
    <xf numFmtId="171" fontId="9" fillId="2" borderId="12" xfId="0" applyNumberFormat="1" applyFont="1" applyFill="1" applyBorder="1" applyAlignment="1" applyProtection="1">
      <alignment horizontal="center" vertical="center"/>
      <protection locked="0" hidden="1"/>
    </xf>
    <xf numFmtId="172" fontId="9" fillId="2" borderId="12" xfId="0" applyNumberFormat="1" applyFont="1" applyFill="1" applyBorder="1" applyAlignment="1" applyProtection="1">
      <alignment horizontal="center" vertical="center"/>
      <protection locked="0" hidden="1"/>
    </xf>
    <xf numFmtId="170" fontId="9" fillId="2" borderId="12" xfId="0" applyNumberFormat="1" applyFont="1" applyFill="1" applyBorder="1" applyAlignment="1" applyProtection="1">
      <alignment horizontal="center" vertical="center"/>
      <protection locked="0" hidden="1"/>
    </xf>
    <xf numFmtId="0" fontId="21" fillId="0" borderId="0" xfId="0" applyFont="1" applyProtection="1">
      <protection hidden="1"/>
    </xf>
    <xf numFmtId="164" fontId="11" fillId="0" borderId="12" xfId="0" applyNumberFormat="1" applyFont="1" applyBorder="1" applyAlignment="1" applyProtection="1">
      <alignment vertical="center"/>
      <protection hidden="1"/>
    </xf>
    <xf numFmtId="164" fontId="0" fillId="0" borderId="0" xfId="0" applyNumberFormat="1" applyProtection="1">
      <protection hidden="1"/>
    </xf>
    <xf numFmtId="0" fontId="0" fillId="0" borderId="0" xfId="0" applyAlignment="1" applyProtection="1">
      <alignment horizontal="right"/>
      <protection hidden="1"/>
    </xf>
    <xf numFmtId="164" fontId="0" fillId="2" borderId="0" xfId="0" applyNumberFormat="1" applyFill="1" applyProtection="1">
      <protection locked="0"/>
    </xf>
    <xf numFmtId="164" fontId="0" fillId="2" borderId="26" xfId="0" applyNumberFormat="1" applyFill="1" applyBorder="1" applyProtection="1">
      <protection locked="0"/>
    </xf>
    <xf numFmtId="14" fontId="0" fillId="0" borderId="23" xfId="0" applyNumberFormat="1" applyBorder="1"/>
    <xf numFmtId="164" fontId="0" fillId="0" borderId="0" xfId="0" applyNumberFormat="1"/>
    <xf numFmtId="14" fontId="0" fillId="3" borderId="23" xfId="0" applyNumberFormat="1" applyFill="1" applyBorder="1"/>
    <xf numFmtId="164" fontId="0" fillId="3" borderId="0" xfId="0" applyNumberFormat="1" applyFill="1"/>
    <xf numFmtId="0" fontId="1" fillId="0" borderId="0" xfId="0" applyFont="1" applyAlignment="1" applyProtection="1">
      <alignment horizontal="center"/>
      <protection hidden="1"/>
    </xf>
    <xf numFmtId="0" fontId="9" fillId="0" borderId="19" xfId="0" applyFont="1" applyBorder="1" applyAlignment="1" applyProtection="1">
      <alignment horizontal="left" vertical="center" wrapText="1"/>
      <protection hidden="1"/>
    </xf>
    <xf numFmtId="0" fontId="9" fillId="0" borderId="34" xfId="0" applyFont="1" applyBorder="1" applyAlignment="1" applyProtection="1">
      <alignment horizontal="left" vertical="center" wrapText="1"/>
      <protection hidden="1"/>
    </xf>
    <xf numFmtId="0" fontId="9" fillId="0" borderId="35" xfId="0" applyFont="1" applyBorder="1" applyAlignment="1" applyProtection="1">
      <alignment horizontal="left" vertical="center" wrapText="1"/>
      <protection hidden="1"/>
    </xf>
    <xf numFmtId="0" fontId="9" fillId="0" borderId="19" xfId="0" applyFont="1" applyBorder="1" applyAlignment="1" applyProtection="1">
      <alignment horizontal="center" vertical="center"/>
      <protection hidden="1"/>
    </xf>
    <xf numFmtId="0" fontId="9" fillId="0" borderId="35" xfId="0" applyFont="1" applyBorder="1" applyAlignment="1" applyProtection="1">
      <alignment horizontal="center" vertical="center"/>
      <protection hidden="1"/>
    </xf>
    <xf numFmtId="0" fontId="9" fillId="2" borderId="19" xfId="0" applyFont="1" applyFill="1" applyBorder="1" applyAlignment="1" applyProtection="1">
      <alignment horizontal="center"/>
      <protection locked="0" hidden="1"/>
    </xf>
    <xf numFmtId="0" fontId="9" fillId="2" borderId="35" xfId="0" applyFont="1" applyFill="1" applyBorder="1" applyAlignment="1" applyProtection="1">
      <alignment horizontal="center"/>
      <protection locked="0" hidden="1"/>
    </xf>
    <xf numFmtId="0" fontId="21" fillId="0" borderId="0" xfId="0" applyFont="1" applyAlignment="1" applyProtection="1">
      <alignment horizontal="center" vertical="center"/>
      <protection hidden="1"/>
    </xf>
    <xf numFmtId="0" fontId="9" fillId="0" borderId="34" xfId="0" applyFont="1" applyBorder="1" applyAlignment="1" applyProtection="1">
      <alignment horizontal="center" vertical="center"/>
      <protection hidden="1"/>
    </xf>
    <xf numFmtId="0" fontId="17" fillId="0" borderId="12" xfId="0" applyFont="1" applyBorder="1" applyAlignment="1" applyProtection="1">
      <alignment horizontal="left"/>
      <protection hidden="1"/>
    </xf>
    <xf numFmtId="0" fontId="13" fillId="0" borderId="13" xfId="0" applyFont="1" applyBorder="1" applyAlignment="1" applyProtection="1">
      <alignment horizontal="left"/>
      <protection hidden="1"/>
    </xf>
    <xf numFmtId="0" fontId="13" fillId="0" borderId="14" xfId="0" applyFont="1" applyBorder="1" applyAlignment="1" applyProtection="1">
      <alignment horizontal="left"/>
      <protection hidden="1"/>
    </xf>
    <xf numFmtId="0" fontId="13" fillId="0" borderId="15" xfId="0" applyFont="1" applyBorder="1" applyAlignment="1" applyProtection="1">
      <alignment horizontal="left"/>
      <protection hidden="1"/>
    </xf>
    <xf numFmtId="0" fontId="13" fillId="0" borderId="16" xfId="0" applyFont="1" applyBorder="1" applyAlignment="1" applyProtection="1">
      <alignment horizontal="left"/>
      <protection hidden="1"/>
    </xf>
    <xf numFmtId="0" fontId="17" fillId="0" borderId="0" xfId="0" applyFont="1" applyAlignment="1" applyProtection="1">
      <alignment horizontal="right"/>
      <protection hidden="1"/>
    </xf>
    <xf numFmtId="166" fontId="11" fillId="0" borderId="2" xfId="0" applyNumberFormat="1" applyFont="1" applyBorder="1" applyAlignment="1" applyProtection="1">
      <alignment horizontal="center" vertical="center"/>
      <protection hidden="1"/>
    </xf>
    <xf numFmtId="166" fontId="11" fillId="0" borderId="3" xfId="0" applyNumberFormat="1" applyFont="1" applyBorder="1" applyAlignment="1" applyProtection="1">
      <alignment horizontal="center" vertical="center"/>
      <protection hidden="1"/>
    </xf>
    <xf numFmtId="166" fontId="11" fillId="0" borderId="4" xfId="0" applyNumberFormat="1" applyFont="1" applyBorder="1" applyAlignment="1" applyProtection="1">
      <alignment horizontal="center" vertical="center"/>
      <protection hidden="1"/>
    </xf>
    <xf numFmtId="0" fontId="20" fillId="0" borderId="0" xfId="0" applyFont="1" applyAlignment="1" applyProtection="1">
      <alignment horizontal="right" vertical="center"/>
      <protection hidden="1"/>
    </xf>
  </cellXfs>
  <cellStyles count="1">
    <cellStyle name="Normal" xfId="0" builtinId="0"/>
  </cellStyles>
  <dxfs count="6">
    <dxf>
      <fill>
        <patternFill>
          <bgColor rgb="FFF15C5A"/>
        </patternFill>
      </fill>
    </dxf>
    <dxf>
      <fill>
        <patternFill>
          <bgColor rgb="FFFFFF00"/>
        </patternFill>
      </fill>
    </dxf>
    <dxf>
      <fill>
        <patternFill>
          <bgColor rgb="FFF15C5A"/>
        </patternFill>
      </fill>
    </dxf>
    <dxf>
      <fill>
        <patternFill>
          <bgColor rgb="FFFFFF00"/>
        </patternFill>
      </fill>
    </dxf>
    <dxf>
      <font>
        <color theme="0"/>
      </font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F15C5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537064</xdr:colOff>
      <xdr:row>0</xdr:row>
      <xdr:rowOff>9525</xdr:rowOff>
    </xdr:from>
    <xdr:to>
      <xdr:col>5</xdr:col>
      <xdr:colOff>809624</xdr:colOff>
      <xdr:row>4</xdr:row>
      <xdr:rowOff>133349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4F0F251A-3055-4D3E-9D1D-D8968B92552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204" t="13266" r="8163" b="15305"/>
        <a:stretch/>
      </xdr:blipFill>
      <xdr:spPr>
        <a:xfrm>
          <a:off x="4480414" y="9525"/>
          <a:ext cx="1034560" cy="838199"/>
        </a:xfrm>
        <a:prstGeom prst="rect">
          <a:avLst/>
        </a:prstGeom>
      </xdr:spPr>
    </xdr:pic>
    <xdr:clientData/>
  </xdr:twoCellAnchor>
  <xdr:twoCellAnchor>
    <xdr:from>
      <xdr:col>12</xdr:col>
      <xdr:colOff>561975</xdr:colOff>
      <xdr:row>2</xdr:row>
      <xdr:rowOff>66675</xdr:rowOff>
    </xdr:from>
    <xdr:to>
      <xdr:col>16</xdr:col>
      <xdr:colOff>371475</xdr:colOff>
      <xdr:row>8</xdr:row>
      <xdr:rowOff>66675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9DF4E3EB-F467-4317-BA85-A78C6A00D8AB}"/>
            </a:ext>
          </a:extLst>
        </xdr:cNvPr>
        <xdr:cNvSpPr txBox="1"/>
      </xdr:nvSpPr>
      <xdr:spPr>
        <a:xfrm>
          <a:off x="11830050" y="457200"/>
          <a:ext cx="2895600" cy="971550"/>
        </a:xfrm>
        <a:prstGeom prst="rect">
          <a:avLst/>
        </a:prstGeom>
        <a:noFill/>
        <a:ln w="28575" cmpd="sng">
          <a:solidFill>
            <a:schemeClr val="accent6">
              <a:lumMod val="60000"/>
              <a:lumOff val="4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fr-FR" sz="1100"/>
            <a:t>Vous</a:t>
          </a:r>
          <a:r>
            <a:rPr lang="fr-FR" sz="1100" baseline="0"/>
            <a:t> avez besoin d'un accompagnement pour l'utilisation de ce simulateur, n'hésitez pas à envoyer un mail à :</a:t>
          </a:r>
        </a:p>
        <a:p>
          <a:r>
            <a:rPr lang="fr-FR" sz="1100" b="1" baseline="0"/>
            <a:t>fo.outils@gmail.com</a:t>
          </a:r>
          <a:endParaRPr lang="fr-FR" sz="1100" b="1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19051</xdr:rowOff>
    </xdr:from>
    <xdr:to>
      <xdr:col>0</xdr:col>
      <xdr:colOff>904875</xdr:colOff>
      <xdr:row>4</xdr:row>
      <xdr:rowOff>28279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4F3A024F-D38A-4293-82B7-10227353A76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204" t="13266" r="8163" b="15305"/>
        <a:stretch/>
      </xdr:blipFill>
      <xdr:spPr>
        <a:xfrm>
          <a:off x="0" y="19051"/>
          <a:ext cx="904875" cy="733128"/>
        </a:xfrm>
        <a:prstGeom prst="rect">
          <a:avLst/>
        </a:prstGeom>
      </xdr:spPr>
    </xdr:pic>
    <xdr:clientData/>
  </xdr:twoCellAnchor>
  <xdr:twoCellAnchor>
    <xdr:from>
      <xdr:col>6</xdr:col>
      <xdr:colOff>190500</xdr:colOff>
      <xdr:row>1</xdr:row>
      <xdr:rowOff>104775</xdr:rowOff>
    </xdr:from>
    <xdr:to>
      <xdr:col>10</xdr:col>
      <xdr:colOff>38100</xdr:colOff>
      <xdr:row>6</xdr:row>
      <xdr:rowOff>123825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EB949961-5816-4F36-BCE2-8524895E2AA5}"/>
            </a:ext>
          </a:extLst>
        </xdr:cNvPr>
        <xdr:cNvSpPr txBox="1"/>
      </xdr:nvSpPr>
      <xdr:spPr>
        <a:xfrm>
          <a:off x="7686675" y="285750"/>
          <a:ext cx="2895600" cy="971550"/>
        </a:xfrm>
        <a:prstGeom prst="rect">
          <a:avLst/>
        </a:prstGeom>
        <a:noFill/>
        <a:ln w="28575" cmpd="sng">
          <a:solidFill>
            <a:schemeClr val="accent6">
              <a:lumMod val="60000"/>
              <a:lumOff val="4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fr-FR" sz="1100"/>
            <a:t>Vous</a:t>
          </a:r>
          <a:r>
            <a:rPr lang="fr-FR" sz="1100" baseline="0"/>
            <a:t> avez besoin d'un accompagnement pour l'utilisation de ce simulateur, n'hésitez pas à envoyer un mail à :</a:t>
          </a:r>
        </a:p>
        <a:p>
          <a:r>
            <a:rPr lang="fr-FR" sz="1100" b="1" baseline="0"/>
            <a:t>fo.outils@gmail.com</a:t>
          </a:r>
          <a:endParaRPr lang="fr-FR" sz="1100" b="1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66675</xdr:colOff>
      <xdr:row>0</xdr:row>
      <xdr:rowOff>57150</xdr:rowOff>
    </xdr:from>
    <xdr:to>
      <xdr:col>7</xdr:col>
      <xdr:colOff>871008</xdr:colOff>
      <xdr:row>2</xdr:row>
      <xdr:rowOff>158334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EB620D01-22D2-43D2-8A69-14A277D0F5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48250" y="57150"/>
          <a:ext cx="804333" cy="4917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44A5F7-3269-4014-AEB4-535AA83CB8A6}">
  <sheetPr>
    <tabColor rgb="FF92D050"/>
    <pageSetUpPr fitToPage="1"/>
  </sheetPr>
  <dimension ref="A1:BR28"/>
  <sheetViews>
    <sheetView showGridLines="0" tabSelected="1" workbookViewId="0">
      <selection activeCell="L9" sqref="L9"/>
    </sheetView>
  </sheetViews>
  <sheetFormatPr baseColWidth="10" defaultRowHeight="12.75" x14ac:dyDescent="0.2"/>
  <cols>
    <col min="1" max="1" width="11.42578125" style="16"/>
    <col min="2" max="2" width="15.85546875" style="16" customWidth="1"/>
    <col min="3" max="3" width="18.28515625" style="16" customWidth="1"/>
    <col min="4" max="4" width="13.5703125" style="16" customWidth="1"/>
    <col min="5" max="5" width="11.42578125" style="16"/>
    <col min="6" max="6" width="12.7109375" style="16" customWidth="1"/>
    <col min="7" max="7" width="4.42578125" style="16" customWidth="1"/>
    <col min="8" max="8" width="15.140625" style="16" customWidth="1"/>
    <col min="9" max="9" width="17.85546875" style="16" customWidth="1"/>
    <col min="10" max="10" width="25.42578125" style="16" customWidth="1"/>
    <col min="11" max="14" width="11.42578125" style="16"/>
    <col min="15" max="15" width="12" style="16" customWidth="1"/>
    <col min="16" max="17" width="11.42578125" style="16"/>
    <col min="18" max="18" width="18.85546875" style="16" customWidth="1"/>
    <col min="19" max="19" width="10.140625" style="16" customWidth="1"/>
    <col min="20" max="51" width="11.42578125" style="16"/>
    <col min="52" max="52" width="0" style="16" hidden="1" customWidth="1"/>
    <col min="53" max="53" width="31" style="16" hidden="1" customWidth="1"/>
    <col min="54" max="64" width="0" style="16" hidden="1" customWidth="1"/>
    <col min="65" max="65" width="20.140625" style="16" hidden="1" customWidth="1"/>
    <col min="66" max="82" width="0" style="16" hidden="1" customWidth="1"/>
    <col min="83" max="16384" width="11.42578125" style="16"/>
  </cols>
  <sheetData>
    <row r="1" spans="1:70" ht="18" x14ac:dyDescent="0.25">
      <c r="A1" s="124" t="s">
        <v>1</v>
      </c>
      <c r="B1" s="124"/>
      <c r="C1" s="124"/>
      <c r="D1" s="124"/>
      <c r="E1" s="124"/>
      <c r="F1" s="67"/>
      <c r="G1" s="67"/>
      <c r="H1" s="67"/>
      <c r="BA1" s="16" t="s">
        <v>69</v>
      </c>
      <c r="BC1" s="16" t="s">
        <v>50</v>
      </c>
      <c r="BH1" s="12" t="s">
        <v>5</v>
      </c>
      <c r="BI1" s="12">
        <v>1</v>
      </c>
      <c r="BJ1" s="12"/>
      <c r="BK1" s="12">
        <v>2020</v>
      </c>
      <c r="BL1" s="12"/>
      <c r="BM1" s="12"/>
      <c r="BN1" s="13">
        <f>+DATE(BN4,BN3,1)</f>
        <v>46023</v>
      </c>
      <c r="BQ1" s="16">
        <v>1</v>
      </c>
      <c r="BR1" s="16">
        <v>0</v>
      </c>
    </row>
    <row r="2" spans="1:70" x14ac:dyDescent="0.2">
      <c r="A2" s="14"/>
      <c r="B2" s="15"/>
      <c r="C2" s="15"/>
      <c r="D2" s="15"/>
      <c r="E2" s="15"/>
      <c r="F2" s="15"/>
      <c r="G2" s="66" t="s">
        <v>75</v>
      </c>
      <c r="BA2" s="16" t="s">
        <v>70</v>
      </c>
      <c r="BC2" s="16" t="s">
        <v>51</v>
      </c>
      <c r="BH2" s="16" t="s">
        <v>6</v>
      </c>
      <c r="BI2" s="16">
        <v>2</v>
      </c>
      <c r="BK2" s="16">
        <v>2021</v>
      </c>
      <c r="BQ2" s="16">
        <v>2</v>
      </c>
      <c r="BR2" s="16">
        <v>5</v>
      </c>
    </row>
    <row r="3" spans="1:70" x14ac:dyDescent="0.2">
      <c r="BH3" s="16" t="s">
        <v>7</v>
      </c>
      <c r="BI3" s="16">
        <v>3</v>
      </c>
      <c r="BK3" s="16">
        <v>2022</v>
      </c>
      <c r="BM3" s="16" t="s">
        <v>17</v>
      </c>
      <c r="BN3" s="16">
        <f>+VLOOKUP(B13,BH1:BI12,2,FALSE)</f>
        <v>1</v>
      </c>
      <c r="BQ3" s="16">
        <v>3</v>
      </c>
      <c r="BR3" s="16">
        <v>10</v>
      </c>
    </row>
    <row r="4" spans="1:70" x14ac:dyDescent="0.2">
      <c r="BH4" s="16" t="s">
        <v>8</v>
      </c>
      <c r="BI4" s="16">
        <v>4</v>
      </c>
      <c r="BK4" s="16">
        <v>2023</v>
      </c>
      <c r="BM4" s="16" t="s">
        <v>18</v>
      </c>
      <c r="BN4" s="16">
        <f>+C13</f>
        <v>2026</v>
      </c>
      <c r="BQ4" s="16">
        <v>4</v>
      </c>
      <c r="BR4" s="16">
        <v>15</v>
      </c>
    </row>
    <row r="5" spans="1:70" x14ac:dyDescent="0.2">
      <c r="A5" s="98" t="s">
        <v>68</v>
      </c>
      <c r="B5" s="98"/>
      <c r="C5" s="98"/>
      <c r="D5" s="98"/>
      <c r="E5" s="98"/>
      <c r="F5" s="98"/>
      <c r="BH5" s="16" t="s">
        <v>9</v>
      </c>
      <c r="BI5" s="16">
        <v>5</v>
      </c>
      <c r="BK5" s="16">
        <v>2024</v>
      </c>
      <c r="BN5" s="19"/>
      <c r="BQ5" s="16">
        <v>5</v>
      </c>
      <c r="BR5" s="16">
        <v>20</v>
      </c>
    </row>
    <row r="6" spans="1:70" x14ac:dyDescent="0.2">
      <c r="BH6" s="16" t="s">
        <v>10</v>
      </c>
      <c r="BI6" s="16">
        <v>6</v>
      </c>
      <c r="BK6" s="16">
        <v>2025</v>
      </c>
      <c r="BM6" s="16" t="s">
        <v>28</v>
      </c>
      <c r="BN6" s="16">
        <f>+VLOOKUP(BN1,Paramètres!A3:G20,6,TRUE)</f>
        <v>6.2270000000000003</v>
      </c>
      <c r="BQ6" s="16">
        <v>6</v>
      </c>
      <c r="BR6" s="16">
        <v>25</v>
      </c>
    </row>
    <row r="7" spans="1:70" x14ac:dyDescent="0.2">
      <c r="A7" s="47" t="s">
        <v>49</v>
      </c>
      <c r="B7" s="130" t="s">
        <v>70</v>
      </c>
      <c r="C7" s="131"/>
      <c r="BH7" s="16" t="s">
        <v>11</v>
      </c>
      <c r="BI7" s="16">
        <v>7</v>
      </c>
      <c r="BK7" s="16">
        <v>2026</v>
      </c>
      <c r="BQ7" s="16">
        <v>7</v>
      </c>
      <c r="BR7" s="16">
        <v>30</v>
      </c>
    </row>
    <row r="8" spans="1:70" x14ac:dyDescent="0.2">
      <c r="BH8" s="16" t="s">
        <v>12</v>
      </c>
      <c r="BI8" s="16">
        <v>8</v>
      </c>
      <c r="BK8" s="16">
        <v>2027</v>
      </c>
      <c r="BQ8" s="16">
        <v>8</v>
      </c>
      <c r="BR8" s="16">
        <v>35</v>
      </c>
    </row>
    <row r="9" spans="1:70" x14ac:dyDescent="0.2">
      <c r="C9" s="99" t="s">
        <v>71</v>
      </c>
      <c r="D9" s="109">
        <v>0</v>
      </c>
      <c r="E9" s="47"/>
      <c r="F9" s="100"/>
      <c r="BH9" s="16" t="s">
        <v>13</v>
      </c>
      <c r="BI9" s="16">
        <v>9</v>
      </c>
      <c r="BK9" s="16">
        <v>2028</v>
      </c>
      <c r="BQ9" s="16">
        <v>9</v>
      </c>
      <c r="BR9" s="16">
        <v>40</v>
      </c>
    </row>
    <row r="10" spans="1:70" x14ac:dyDescent="0.2">
      <c r="E10" s="100"/>
      <c r="BH10" s="16" t="s">
        <v>14</v>
      </c>
      <c r="BI10" s="16">
        <v>10</v>
      </c>
      <c r="BK10" s="16">
        <v>2029</v>
      </c>
      <c r="BQ10" s="16">
        <v>10</v>
      </c>
      <c r="BR10" s="16">
        <v>45</v>
      </c>
    </row>
    <row r="11" spans="1:70" ht="18" x14ac:dyDescent="0.25">
      <c r="H11" s="114" t="s">
        <v>74</v>
      </c>
      <c r="I11" s="115">
        <f>+ROUND(SUM(BI17:BI26),2)</f>
        <v>0</v>
      </c>
      <c r="BH11" s="16" t="s">
        <v>15</v>
      </c>
      <c r="BI11" s="16">
        <v>11</v>
      </c>
      <c r="BK11" s="16">
        <v>2030</v>
      </c>
      <c r="BQ11" s="16">
        <v>11</v>
      </c>
      <c r="BR11" s="16">
        <v>50</v>
      </c>
    </row>
    <row r="12" spans="1:70" x14ac:dyDescent="0.2">
      <c r="B12" s="17" t="s">
        <v>3</v>
      </c>
      <c r="C12" s="17" t="s">
        <v>4</v>
      </c>
      <c r="BH12" s="16" t="s">
        <v>16</v>
      </c>
      <c r="BI12" s="16">
        <v>12</v>
      </c>
      <c r="BQ12" s="16">
        <v>12</v>
      </c>
      <c r="BR12" s="16">
        <v>55</v>
      </c>
    </row>
    <row r="13" spans="1:70" x14ac:dyDescent="0.2">
      <c r="A13" s="82" t="s">
        <v>2</v>
      </c>
      <c r="B13" s="110" t="s">
        <v>5</v>
      </c>
      <c r="C13" s="110">
        <v>2026</v>
      </c>
      <c r="BQ13" s="16">
        <v>13</v>
      </c>
    </row>
    <row r="14" spans="1:70" x14ac:dyDescent="0.2">
      <c r="BQ14" s="16">
        <v>14</v>
      </c>
    </row>
    <row r="15" spans="1:70" ht="18.75" customHeight="1" x14ac:dyDescent="0.2">
      <c r="B15" s="128" t="s">
        <v>67</v>
      </c>
      <c r="C15" s="129"/>
      <c r="BQ15" s="16">
        <v>15</v>
      </c>
    </row>
    <row r="16" spans="1:70" ht="25.5" x14ac:dyDescent="0.2">
      <c r="B16" s="101" t="s">
        <v>62</v>
      </c>
      <c r="C16" s="101" t="s">
        <v>63</v>
      </c>
      <c r="D16" s="128" t="s">
        <v>64</v>
      </c>
      <c r="E16" s="133"/>
      <c r="F16" s="133"/>
      <c r="G16" s="133"/>
      <c r="H16" s="129"/>
      <c r="I16" s="102" t="s">
        <v>65</v>
      </c>
      <c r="J16" s="102" t="s">
        <v>66</v>
      </c>
      <c r="BA16" s="103"/>
      <c r="BB16" s="103" t="s">
        <v>46</v>
      </c>
      <c r="BC16" s="103"/>
      <c r="BD16" s="104" t="s">
        <v>72</v>
      </c>
      <c r="BE16" s="104" t="s">
        <v>73</v>
      </c>
      <c r="BG16" s="104" t="s">
        <v>72</v>
      </c>
      <c r="BH16" s="104" t="s">
        <v>73</v>
      </c>
      <c r="BQ16" s="16">
        <v>16</v>
      </c>
    </row>
    <row r="17" spans="1:69" s="103" customFormat="1" ht="48" customHeight="1" x14ac:dyDescent="0.2">
      <c r="A17" s="105" t="s">
        <v>52</v>
      </c>
      <c r="B17" s="111"/>
      <c r="C17" s="112"/>
      <c r="D17" s="125" t="str">
        <f t="shared" ref="D17:D26" si="0">+IF(BB17=0,"",+IF($B$7=$BA$1,BG17,IF($B$7=$BA$2,BH17,0)))</f>
        <v/>
      </c>
      <c r="E17" s="126"/>
      <c r="F17" s="126"/>
      <c r="G17" s="126"/>
      <c r="H17" s="127"/>
      <c r="I17" s="106">
        <f t="shared" ref="I17:I26" si="1">+IF(BB17=0,0,+IF($B$7=$BA$1,BD17,IF($B$7=$BA$2,BE17,0)))</f>
        <v>0</v>
      </c>
      <c r="J17" s="113"/>
      <c r="BA17" s="107">
        <f t="shared" ref="BA17:BA26" si="2">+TIME(B17,C17,0)</f>
        <v>0</v>
      </c>
      <c r="BB17" s="103">
        <f>ROUND(+BA17*24,2)</f>
        <v>0</v>
      </c>
      <c r="BD17" s="103">
        <f>ROUND(+IF(BB17&lt;=$BN$6,+VLOOKUP($BN$1,Paramètres!$A$3:$G$20,2,TRUE),+VLOOKUP($BN$1,Paramètres!$A$3:$G$20,3,TRUE)/9*BB17),2)</f>
        <v>2.65</v>
      </c>
      <c r="BE17" s="103">
        <f>+IF($D$9&lt;=BD17,BD17,$D$9)</f>
        <v>2.65</v>
      </c>
      <c r="BG17" s="103" t="str">
        <f>+IF(BB17&lt;=$BN$6,"La journée est inférieure à "&amp;VLOOKUP($BN$1,Paramètres!$A$3:$G$20,4,TRUE)&amp;"h"&amp;VLOOKUP($BN$1,Paramètres!$A$3:$G$20,5,TRUE)&amp;", le montant minimum obligatoire est "&amp;VLOOKUP($BN$1,Paramètres!$A$3:$G$20,2,TRUE)&amp;" €","La journée est supérieure à "&amp;VLOOKUP($BN$1,Paramètres!$A$3:$G$20,4,TRUE)&amp;"h"&amp;VLOOKUP($BN$1,Paramètres!$A$3:$G$20,5,TRUE)&amp;", le montant de l'indemnité est "&amp;+VLOOKUP($BN$1,Paramètres!$A$3:$G$20,3,TRUE)&amp;" €  / "&amp;"9"&amp;" X "&amp;BB17)</f>
        <v>La journée est inférieure à 6h14, le montant minimum obligatoire est 2,65 €</v>
      </c>
      <c r="BH17" s="103" t="str">
        <f>+IF($D$9&lt;=BD17,"Le montant de l'indemnité contractuelle est inférieure à l'indemnité minimum obligatoire "&amp;BG17,"Le montant de l'indemnité contractuelle est retenue")</f>
        <v>Le montant de l'indemnité contractuelle est inférieure à l'indemnité minimum obligatoire La journée est inférieure à 6h14, le montant minimum obligatoire est 2,65 €</v>
      </c>
      <c r="BI17" s="108">
        <f t="shared" ref="BI17:BI26" si="3">+I17*J17</f>
        <v>0</v>
      </c>
      <c r="BQ17" s="16">
        <v>17</v>
      </c>
    </row>
    <row r="18" spans="1:69" s="103" customFormat="1" ht="48" customHeight="1" x14ac:dyDescent="0.2">
      <c r="A18" s="105" t="s">
        <v>53</v>
      </c>
      <c r="B18" s="111"/>
      <c r="C18" s="112"/>
      <c r="D18" s="125" t="str">
        <f t="shared" si="0"/>
        <v/>
      </c>
      <c r="E18" s="126"/>
      <c r="F18" s="126"/>
      <c r="G18" s="126"/>
      <c r="H18" s="127"/>
      <c r="I18" s="106">
        <f t="shared" si="1"/>
        <v>0</v>
      </c>
      <c r="J18" s="113"/>
      <c r="BA18" s="107">
        <f t="shared" si="2"/>
        <v>0</v>
      </c>
      <c r="BB18" s="103">
        <f t="shared" ref="BB18:BB26" si="4">ROUND(+BA18*24,2)</f>
        <v>0</v>
      </c>
      <c r="BD18" s="103">
        <f>ROUND(+IF(BB18&lt;=$BN$6,+VLOOKUP($BN$1,Paramètres!$A$3:$G$20,2,TRUE),+VLOOKUP($BN$1,Paramètres!$A$3:$G$20,3,TRUE)/9*BB18),2)</f>
        <v>2.65</v>
      </c>
      <c r="BE18" s="103">
        <f t="shared" ref="BE18:BE26" si="5">+IF($D$9&lt;=BD18,BD18,$D$9)</f>
        <v>2.65</v>
      </c>
      <c r="BG18" s="103" t="str">
        <f>+IF(BB18&lt;=$BN$6,"La journée est inférieure à "&amp;VLOOKUP($BN$1,Paramètres!$A$3:$G$20,4,TRUE)&amp;"h"&amp;VLOOKUP($BN$1,Paramètres!$A$3:$G$20,5,TRUE)&amp;", le montant minimum obligatoire est "&amp;VLOOKUP($BN$1,Paramètres!$A$3:$G$20,2,TRUE)&amp;" €","La journée est supérieure à "&amp;VLOOKUP($BN$1,Paramètres!$A$3:$G$20,4,TRUE)&amp;"h"&amp;VLOOKUP($BN$1,Paramètres!$A$3:$G$20,5,TRUE)&amp;", le montant de l'indemnité est "&amp;+VLOOKUP($BN$1,Paramètres!$A$3:$G$20,3,TRUE)&amp;" €  / "&amp;"9"&amp;" X "&amp;BB18)</f>
        <v>La journée est inférieure à 6h14, le montant minimum obligatoire est 2,65 €</v>
      </c>
      <c r="BH18" s="103" t="str">
        <f t="shared" ref="BH18:BH26" si="6">+IF($D$9&lt;=BD18,"Le montant de l'indemnité contractuelle est inférieure à l'indemnité minimum obligatoire "&amp;BG18,"Le montant de l'indemnité contractuelle est retenue")</f>
        <v>Le montant de l'indemnité contractuelle est inférieure à l'indemnité minimum obligatoire La journée est inférieure à 6h14, le montant minimum obligatoire est 2,65 €</v>
      </c>
      <c r="BI18" s="108">
        <f t="shared" si="3"/>
        <v>0</v>
      </c>
      <c r="BQ18" s="16">
        <v>18</v>
      </c>
    </row>
    <row r="19" spans="1:69" s="103" customFormat="1" ht="48" customHeight="1" x14ac:dyDescent="0.2">
      <c r="A19" s="105" t="s">
        <v>54</v>
      </c>
      <c r="B19" s="111"/>
      <c r="C19" s="112"/>
      <c r="D19" s="125" t="str">
        <f t="shared" si="0"/>
        <v/>
      </c>
      <c r="E19" s="126"/>
      <c r="F19" s="126"/>
      <c r="G19" s="126"/>
      <c r="H19" s="127"/>
      <c r="I19" s="106">
        <f t="shared" si="1"/>
        <v>0</v>
      </c>
      <c r="J19" s="113"/>
      <c r="BA19" s="107">
        <f t="shared" si="2"/>
        <v>0</v>
      </c>
      <c r="BB19" s="103">
        <f t="shared" si="4"/>
        <v>0</v>
      </c>
      <c r="BD19" s="103">
        <f>ROUND(+IF(BB19&lt;=$BN$6,+VLOOKUP($BN$1,Paramètres!$A$3:$G$20,2,TRUE),+VLOOKUP($BN$1,Paramètres!$A$3:$G$20,3,TRUE)/9*BB19),2)</f>
        <v>2.65</v>
      </c>
      <c r="BE19" s="103">
        <f t="shared" si="5"/>
        <v>2.65</v>
      </c>
      <c r="BG19" s="103" t="str">
        <f>+IF(BB19&lt;=$BN$6,"La journée est inférieure à "&amp;VLOOKUP($BN$1,Paramètres!$A$3:$G$20,4,TRUE)&amp;"h"&amp;VLOOKUP($BN$1,Paramètres!$A$3:$G$20,5,TRUE)&amp;", le montant minimum obligatoire est "&amp;VLOOKUP($BN$1,Paramètres!$A$3:$G$20,2,TRUE)&amp;" €","La journée est supérieure à "&amp;VLOOKUP($BN$1,Paramètres!$A$3:$G$20,4,TRUE)&amp;"h"&amp;VLOOKUP($BN$1,Paramètres!$A$3:$G$20,5,TRUE)&amp;", le montant de l'indemnité est "&amp;+VLOOKUP($BN$1,Paramètres!$A$3:$G$20,3,TRUE)&amp;" €  / "&amp;"9"&amp;" X "&amp;BB19)</f>
        <v>La journée est inférieure à 6h14, le montant minimum obligatoire est 2,65 €</v>
      </c>
      <c r="BH19" s="103" t="str">
        <f t="shared" si="6"/>
        <v>Le montant de l'indemnité contractuelle est inférieure à l'indemnité minimum obligatoire La journée est inférieure à 6h14, le montant minimum obligatoire est 2,65 €</v>
      </c>
      <c r="BI19" s="108">
        <f t="shared" si="3"/>
        <v>0</v>
      </c>
      <c r="BQ19" s="16">
        <v>19</v>
      </c>
    </row>
    <row r="20" spans="1:69" s="103" customFormat="1" ht="48" customHeight="1" x14ac:dyDescent="0.2">
      <c r="A20" s="69" t="s">
        <v>55</v>
      </c>
      <c r="B20" s="111"/>
      <c r="C20" s="112"/>
      <c r="D20" s="125" t="str">
        <f t="shared" si="0"/>
        <v/>
      </c>
      <c r="E20" s="126"/>
      <c r="F20" s="126"/>
      <c r="G20" s="126"/>
      <c r="H20" s="127"/>
      <c r="I20" s="106">
        <f t="shared" si="1"/>
        <v>0</v>
      </c>
      <c r="J20" s="113"/>
      <c r="BA20" s="107">
        <f t="shared" si="2"/>
        <v>0</v>
      </c>
      <c r="BB20" s="103">
        <f t="shared" si="4"/>
        <v>0</v>
      </c>
      <c r="BD20" s="103">
        <f>ROUND(+IF(BB20&lt;=$BN$6,+VLOOKUP($BN$1,Paramètres!$A$3:$G$20,2,TRUE),+VLOOKUP($BN$1,Paramètres!$A$3:$G$20,3,TRUE)/9*BB20),2)</f>
        <v>2.65</v>
      </c>
      <c r="BE20" s="103">
        <f t="shared" si="5"/>
        <v>2.65</v>
      </c>
      <c r="BG20" s="103" t="str">
        <f>+IF(BB20&lt;=$BN$6,"La journée est inférieure à "&amp;VLOOKUP($BN$1,Paramètres!$A$3:$G$20,4,TRUE)&amp;"h"&amp;VLOOKUP($BN$1,Paramètres!$A$3:$G$20,5,TRUE)&amp;", le montant minimum obligatoire est "&amp;VLOOKUP($BN$1,Paramètres!$A$3:$G$20,2,TRUE)&amp;" €","La journée est supérieure à "&amp;VLOOKUP($BN$1,Paramètres!$A$3:$G$20,4,TRUE)&amp;"h"&amp;VLOOKUP($BN$1,Paramètres!$A$3:$G$20,5,TRUE)&amp;", le montant de l'indemnité est "&amp;+VLOOKUP($BN$1,Paramètres!$A$3:$G$20,3,TRUE)&amp;" €  / "&amp;"9"&amp;" X "&amp;BB20)</f>
        <v>La journée est inférieure à 6h14, le montant minimum obligatoire est 2,65 €</v>
      </c>
      <c r="BH20" s="103" t="str">
        <f t="shared" si="6"/>
        <v>Le montant de l'indemnité contractuelle est inférieure à l'indemnité minimum obligatoire La journée est inférieure à 6h14, le montant minimum obligatoire est 2,65 €</v>
      </c>
      <c r="BI20" s="108">
        <f t="shared" si="3"/>
        <v>0</v>
      </c>
      <c r="BQ20" s="16">
        <v>20</v>
      </c>
    </row>
    <row r="21" spans="1:69" s="103" customFormat="1" ht="48" customHeight="1" x14ac:dyDescent="0.2">
      <c r="A21" s="105" t="s">
        <v>56</v>
      </c>
      <c r="B21" s="111"/>
      <c r="C21" s="112"/>
      <c r="D21" s="125" t="str">
        <f t="shared" si="0"/>
        <v/>
      </c>
      <c r="E21" s="126"/>
      <c r="F21" s="126"/>
      <c r="G21" s="126"/>
      <c r="H21" s="127"/>
      <c r="I21" s="106">
        <f t="shared" si="1"/>
        <v>0</v>
      </c>
      <c r="J21" s="113"/>
      <c r="BA21" s="107">
        <f t="shared" si="2"/>
        <v>0</v>
      </c>
      <c r="BB21" s="103">
        <f t="shared" si="4"/>
        <v>0</v>
      </c>
      <c r="BD21" s="103">
        <f>ROUND(+IF(BB21&lt;=$BN$6,+VLOOKUP($BN$1,Paramètres!$A$3:$G$20,2,TRUE),+VLOOKUP($BN$1,Paramètres!$A$3:$G$20,3,TRUE)/9*BB21),2)</f>
        <v>2.65</v>
      </c>
      <c r="BE21" s="103">
        <f t="shared" si="5"/>
        <v>2.65</v>
      </c>
      <c r="BG21" s="103" t="str">
        <f>+IF(BB21&lt;=$BN$6,"La journée est inférieure à "&amp;VLOOKUP($BN$1,Paramètres!$A$3:$G$20,4,TRUE)&amp;"h"&amp;VLOOKUP($BN$1,Paramètres!$A$3:$G$20,5,TRUE)&amp;", le montant minimum obligatoire est "&amp;VLOOKUP($BN$1,Paramètres!$A$3:$G$20,2,TRUE)&amp;" €","La journée est supérieure à "&amp;VLOOKUP($BN$1,Paramètres!$A$3:$G$20,4,TRUE)&amp;"h"&amp;VLOOKUP($BN$1,Paramètres!$A$3:$G$20,5,TRUE)&amp;", le montant de l'indemnité est "&amp;+VLOOKUP($BN$1,Paramètres!$A$3:$G$20,3,TRUE)&amp;" €  / "&amp;"9"&amp;" X "&amp;BB21)</f>
        <v>La journée est inférieure à 6h14, le montant minimum obligatoire est 2,65 €</v>
      </c>
      <c r="BH21" s="103" t="str">
        <f t="shared" si="6"/>
        <v>Le montant de l'indemnité contractuelle est inférieure à l'indemnité minimum obligatoire La journée est inférieure à 6h14, le montant minimum obligatoire est 2,65 €</v>
      </c>
      <c r="BI21" s="108">
        <f t="shared" si="3"/>
        <v>0</v>
      </c>
      <c r="BQ21" s="16">
        <v>21</v>
      </c>
    </row>
    <row r="22" spans="1:69" s="103" customFormat="1" ht="48" customHeight="1" x14ac:dyDescent="0.2">
      <c r="A22" s="105" t="s">
        <v>57</v>
      </c>
      <c r="B22" s="111"/>
      <c r="C22" s="112"/>
      <c r="D22" s="125" t="str">
        <f t="shared" si="0"/>
        <v/>
      </c>
      <c r="E22" s="126"/>
      <c r="F22" s="126"/>
      <c r="G22" s="126"/>
      <c r="H22" s="127"/>
      <c r="I22" s="106">
        <f t="shared" si="1"/>
        <v>0</v>
      </c>
      <c r="J22" s="113"/>
      <c r="BA22" s="107">
        <f t="shared" si="2"/>
        <v>0</v>
      </c>
      <c r="BB22" s="103">
        <f t="shared" si="4"/>
        <v>0</v>
      </c>
      <c r="BD22" s="103">
        <f>ROUND(+IF(BB22&lt;=$BN$6,+VLOOKUP($BN$1,Paramètres!$A$3:$G$20,2,TRUE),+VLOOKUP($BN$1,Paramètres!$A$3:$G$20,3,TRUE)/9*BB22),2)</f>
        <v>2.65</v>
      </c>
      <c r="BE22" s="103">
        <f t="shared" si="5"/>
        <v>2.65</v>
      </c>
      <c r="BG22" s="103" t="str">
        <f>+IF(BB22&lt;=$BN$6,"La journée est inférieure à "&amp;VLOOKUP($BN$1,Paramètres!$A$3:$G$20,4,TRUE)&amp;"h"&amp;VLOOKUP($BN$1,Paramètres!$A$3:$G$20,5,TRUE)&amp;", le montant minimum obligatoire est "&amp;VLOOKUP($BN$1,Paramètres!$A$3:$G$20,2,TRUE)&amp;" €","La journée est supérieure à "&amp;VLOOKUP($BN$1,Paramètres!$A$3:$G$20,4,TRUE)&amp;"h"&amp;VLOOKUP($BN$1,Paramètres!$A$3:$G$20,5,TRUE)&amp;", le montant de l'indemnité est "&amp;+VLOOKUP($BN$1,Paramètres!$A$3:$G$20,3,TRUE)&amp;" €  / "&amp;"9"&amp;" X "&amp;BB22)</f>
        <v>La journée est inférieure à 6h14, le montant minimum obligatoire est 2,65 €</v>
      </c>
      <c r="BH22" s="103" t="str">
        <f t="shared" si="6"/>
        <v>Le montant de l'indemnité contractuelle est inférieure à l'indemnité minimum obligatoire La journée est inférieure à 6h14, le montant minimum obligatoire est 2,65 €</v>
      </c>
      <c r="BI22" s="108">
        <f t="shared" si="3"/>
        <v>0</v>
      </c>
      <c r="BQ22" s="16">
        <v>22</v>
      </c>
    </row>
    <row r="23" spans="1:69" s="103" customFormat="1" ht="48" customHeight="1" x14ac:dyDescent="0.2">
      <c r="A23" s="105" t="s">
        <v>58</v>
      </c>
      <c r="B23" s="111"/>
      <c r="C23" s="112"/>
      <c r="D23" s="125" t="str">
        <f t="shared" si="0"/>
        <v/>
      </c>
      <c r="E23" s="126"/>
      <c r="F23" s="126"/>
      <c r="G23" s="126"/>
      <c r="H23" s="127"/>
      <c r="I23" s="106">
        <f t="shared" si="1"/>
        <v>0</v>
      </c>
      <c r="J23" s="113"/>
      <c r="BA23" s="107">
        <f t="shared" si="2"/>
        <v>0</v>
      </c>
      <c r="BB23" s="103">
        <f t="shared" si="4"/>
        <v>0</v>
      </c>
      <c r="BD23" s="103">
        <f>ROUND(+IF(BB23&lt;=$BN$6,+VLOOKUP($BN$1,Paramètres!$A$3:$G$20,2,TRUE),+VLOOKUP($BN$1,Paramètres!$A$3:$G$20,3,TRUE)/9*BB23),2)</f>
        <v>2.65</v>
      </c>
      <c r="BE23" s="103">
        <f t="shared" si="5"/>
        <v>2.65</v>
      </c>
      <c r="BG23" s="103" t="str">
        <f>+IF(BB23&lt;=$BN$6,"La journée est inférieure à "&amp;VLOOKUP($BN$1,Paramètres!$A$3:$G$20,4,TRUE)&amp;"h"&amp;VLOOKUP($BN$1,Paramètres!$A$3:$G$20,5,TRUE)&amp;", le montant minimum obligatoire est "&amp;VLOOKUP($BN$1,Paramètres!$A$3:$G$20,2,TRUE)&amp;" €","La journée est supérieure à "&amp;VLOOKUP($BN$1,Paramètres!$A$3:$G$20,4,TRUE)&amp;"h"&amp;VLOOKUP($BN$1,Paramètres!$A$3:$G$20,5,TRUE)&amp;", le montant de l'indemnité est "&amp;+VLOOKUP($BN$1,Paramètres!$A$3:$G$20,3,TRUE)&amp;" €  / "&amp;"9"&amp;" X "&amp;BB23)</f>
        <v>La journée est inférieure à 6h14, le montant minimum obligatoire est 2,65 €</v>
      </c>
      <c r="BH23" s="103" t="str">
        <f t="shared" si="6"/>
        <v>Le montant de l'indemnité contractuelle est inférieure à l'indemnité minimum obligatoire La journée est inférieure à 6h14, le montant minimum obligatoire est 2,65 €</v>
      </c>
      <c r="BI23" s="108">
        <f t="shared" si="3"/>
        <v>0</v>
      </c>
      <c r="BQ23" s="16">
        <v>23</v>
      </c>
    </row>
    <row r="24" spans="1:69" s="103" customFormat="1" ht="48" customHeight="1" x14ac:dyDescent="0.2">
      <c r="A24" s="105" t="s">
        <v>59</v>
      </c>
      <c r="B24" s="111"/>
      <c r="C24" s="112"/>
      <c r="D24" s="125" t="str">
        <f t="shared" si="0"/>
        <v/>
      </c>
      <c r="E24" s="126"/>
      <c r="F24" s="126"/>
      <c r="G24" s="126"/>
      <c r="H24" s="127"/>
      <c r="I24" s="106">
        <f t="shared" si="1"/>
        <v>0</v>
      </c>
      <c r="J24" s="113"/>
      <c r="BA24" s="107">
        <f t="shared" si="2"/>
        <v>0</v>
      </c>
      <c r="BB24" s="103">
        <f t="shared" si="4"/>
        <v>0</v>
      </c>
      <c r="BD24" s="103">
        <f>ROUND(+IF(BB24&lt;=$BN$6,+VLOOKUP($BN$1,Paramètres!$A$3:$G$20,2,TRUE),+VLOOKUP($BN$1,Paramètres!$A$3:$G$20,3,TRUE)/9*BB24),2)</f>
        <v>2.65</v>
      </c>
      <c r="BE24" s="103">
        <f t="shared" si="5"/>
        <v>2.65</v>
      </c>
      <c r="BG24" s="103" t="str">
        <f>+IF(BB24&lt;=$BN$6,"La journée est inférieure à "&amp;VLOOKUP($BN$1,Paramètres!$A$3:$G$20,4,TRUE)&amp;"h"&amp;VLOOKUP($BN$1,Paramètres!$A$3:$G$20,5,TRUE)&amp;", le montant minimum obligatoire est "&amp;VLOOKUP($BN$1,Paramètres!$A$3:$G$20,2,TRUE)&amp;" €","La journée est supérieure à "&amp;VLOOKUP($BN$1,Paramètres!$A$3:$G$20,4,TRUE)&amp;"h"&amp;VLOOKUP($BN$1,Paramètres!$A$3:$G$20,5,TRUE)&amp;", le montant de l'indemnité est "&amp;+VLOOKUP($BN$1,Paramètres!$A$3:$G$20,3,TRUE)&amp;" €  / "&amp;"9"&amp;" X "&amp;BB24)</f>
        <v>La journée est inférieure à 6h14, le montant minimum obligatoire est 2,65 €</v>
      </c>
      <c r="BH24" s="103" t="str">
        <f t="shared" si="6"/>
        <v>Le montant de l'indemnité contractuelle est inférieure à l'indemnité minimum obligatoire La journée est inférieure à 6h14, le montant minimum obligatoire est 2,65 €</v>
      </c>
      <c r="BI24" s="108">
        <f t="shared" si="3"/>
        <v>0</v>
      </c>
      <c r="BQ24" s="16">
        <v>24</v>
      </c>
    </row>
    <row r="25" spans="1:69" s="103" customFormat="1" ht="48" customHeight="1" x14ac:dyDescent="0.25">
      <c r="A25" s="105" t="s">
        <v>60</v>
      </c>
      <c r="B25" s="111"/>
      <c r="C25" s="112"/>
      <c r="D25" s="125" t="str">
        <f t="shared" si="0"/>
        <v/>
      </c>
      <c r="E25" s="126"/>
      <c r="F25" s="126"/>
      <c r="G25" s="126"/>
      <c r="H25" s="127"/>
      <c r="I25" s="106">
        <f t="shared" si="1"/>
        <v>0</v>
      </c>
      <c r="J25" s="113"/>
      <c r="BA25" s="107">
        <f t="shared" si="2"/>
        <v>0</v>
      </c>
      <c r="BB25" s="103">
        <f t="shared" si="4"/>
        <v>0</v>
      </c>
      <c r="BD25" s="103">
        <f>ROUND(+IF(BB25&lt;=$BN$6,+VLOOKUP($BN$1,Paramètres!$A$3:$G$20,2,TRUE),+VLOOKUP($BN$1,Paramètres!$A$3:$G$20,3,TRUE)/9*BB25),2)</f>
        <v>2.65</v>
      </c>
      <c r="BE25" s="103">
        <f t="shared" si="5"/>
        <v>2.65</v>
      </c>
      <c r="BG25" s="103" t="str">
        <f>+IF(BB25&lt;=$BN$6,"La journée est inférieure à "&amp;VLOOKUP($BN$1,Paramètres!$A$3:$G$20,4,TRUE)&amp;"h"&amp;VLOOKUP($BN$1,Paramètres!$A$3:$G$20,5,TRUE)&amp;", le montant minimum obligatoire est "&amp;VLOOKUP($BN$1,Paramètres!$A$3:$G$20,2,TRUE)&amp;" €","La journée est supérieure à "&amp;VLOOKUP($BN$1,Paramètres!$A$3:$G$20,4,TRUE)&amp;"h"&amp;VLOOKUP($BN$1,Paramètres!$A$3:$G$20,5,TRUE)&amp;", le montant de l'indemnité est "&amp;+VLOOKUP($BN$1,Paramètres!$A$3:$G$20,3,TRUE)&amp;" €  / "&amp;"9"&amp;" X "&amp;BB25)</f>
        <v>La journée est inférieure à 6h14, le montant minimum obligatoire est 2,65 €</v>
      </c>
      <c r="BH25" s="103" t="str">
        <f t="shared" si="6"/>
        <v>Le montant de l'indemnité contractuelle est inférieure à l'indemnité minimum obligatoire La journée est inférieure à 6h14, le montant minimum obligatoire est 2,65 €</v>
      </c>
      <c r="BI25" s="108">
        <f t="shared" si="3"/>
        <v>0</v>
      </c>
    </row>
    <row r="26" spans="1:69" s="103" customFormat="1" ht="48" customHeight="1" x14ac:dyDescent="0.25">
      <c r="A26" s="105" t="s">
        <v>61</v>
      </c>
      <c r="B26" s="111"/>
      <c r="C26" s="112"/>
      <c r="D26" s="125" t="str">
        <f t="shared" si="0"/>
        <v/>
      </c>
      <c r="E26" s="126"/>
      <c r="F26" s="126"/>
      <c r="G26" s="126"/>
      <c r="H26" s="127"/>
      <c r="I26" s="106">
        <f t="shared" si="1"/>
        <v>0</v>
      </c>
      <c r="J26" s="113"/>
      <c r="BA26" s="107">
        <f t="shared" si="2"/>
        <v>0</v>
      </c>
      <c r="BB26" s="103">
        <f t="shared" si="4"/>
        <v>0</v>
      </c>
      <c r="BD26" s="103">
        <f>ROUND(+IF(BB26&lt;=$BN$6,+VLOOKUP($BN$1,Paramètres!$A$3:$G$20,2,TRUE),+VLOOKUP($BN$1,Paramètres!$A$3:$G$20,3,TRUE)/9*BB26),2)</f>
        <v>2.65</v>
      </c>
      <c r="BE26" s="103">
        <f t="shared" si="5"/>
        <v>2.65</v>
      </c>
      <c r="BG26" s="103" t="str">
        <f>+IF(BB26&lt;=$BN$6,"La journée est inférieure à "&amp;VLOOKUP($BN$1,Paramètres!$A$3:$G$20,4,TRUE)&amp;"h"&amp;VLOOKUP($BN$1,Paramètres!$A$3:$G$20,5,TRUE)&amp;", le montant minimum obligatoire est "&amp;VLOOKUP($BN$1,Paramètres!$A$3:$G$20,2,TRUE)&amp;" €","La journée est supérieure à "&amp;VLOOKUP($BN$1,Paramètres!$A$3:$G$20,4,TRUE)&amp;"h"&amp;VLOOKUP($BN$1,Paramètres!$A$3:$G$20,5,TRUE)&amp;", le montant de l'indemnité est "&amp;+VLOOKUP($BN$1,Paramètres!$A$3:$G$20,3,TRUE)&amp;" €  / "&amp;"9"&amp;" X "&amp;BB26)</f>
        <v>La journée est inférieure à 6h14, le montant minimum obligatoire est 2,65 €</v>
      </c>
      <c r="BH26" s="103" t="str">
        <f t="shared" si="6"/>
        <v>Le montant de l'indemnité contractuelle est inférieure à l'indemnité minimum obligatoire La journée est inférieure à 6h14, le montant minimum obligatoire est 2,65 €</v>
      </c>
      <c r="BI26" s="108">
        <f t="shared" si="3"/>
        <v>0</v>
      </c>
    </row>
    <row r="28" spans="1:69" ht="36.75" customHeight="1" x14ac:dyDescent="0.2">
      <c r="A28" s="132" t="str">
        <f>+"Ce mois-ci le montant des indemnités d'entretien est de "&amp;ROUND(SUM(BI17:BI26),2)&amp;" €, pour "&amp;SUM(J17:J26)&amp;" jours d'accueil"</f>
        <v>Ce mois-ci le montant des indemnités d'entretien est de 0 €, pour 0 jours d'accueil</v>
      </c>
      <c r="B28" s="132"/>
      <c r="C28" s="132"/>
      <c r="D28" s="132"/>
      <c r="E28" s="132"/>
      <c r="F28" s="132"/>
      <c r="G28" s="132"/>
      <c r="H28" s="132"/>
      <c r="I28" s="132"/>
      <c r="J28" s="132"/>
    </row>
  </sheetData>
  <sheetProtection algorithmName="SHA-512" hashValue="o2XiOSdTVsDpKUseuxrbyvIZTL6XwIvyr97ieZShFU3chfy9pcTw9l0U3tyF8Z/mJAT5T0426m/FtQsUwHd9/A==" saltValue="8jQx7BoG1K+NmtFjxvMOPw==" spinCount="100000" sheet="1" formatCells="0" formatColumns="0" formatRows="0" insertColumns="0" insertRows="0" sort="0" autoFilter="0" pivotTables="0"/>
  <mergeCells count="15">
    <mergeCell ref="A1:E1"/>
    <mergeCell ref="D26:H26"/>
    <mergeCell ref="B15:C15"/>
    <mergeCell ref="B7:C7"/>
    <mergeCell ref="A28:J28"/>
    <mergeCell ref="D19:H19"/>
    <mergeCell ref="D20:H20"/>
    <mergeCell ref="D21:H21"/>
    <mergeCell ref="D22:H22"/>
    <mergeCell ref="D23:H23"/>
    <mergeCell ref="D24:H24"/>
    <mergeCell ref="D16:H16"/>
    <mergeCell ref="D17:H17"/>
    <mergeCell ref="D18:H18"/>
    <mergeCell ref="D25:H25"/>
  </mergeCells>
  <phoneticPr fontId="7" type="noConversion"/>
  <conditionalFormatting sqref="A9:D9">
    <cfRule type="expression" dxfId="5" priority="2">
      <formula>$B$7=$BA$1</formula>
    </cfRule>
  </conditionalFormatting>
  <conditionalFormatting sqref="I17:I26">
    <cfRule type="cellIs" dxfId="4" priority="1" operator="equal">
      <formula>0</formula>
    </cfRule>
  </conditionalFormatting>
  <dataValidations count="5">
    <dataValidation type="list" allowBlank="1" showInputMessage="1" showErrorMessage="1" sqref="B7" xr:uid="{D08F9ABB-FC77-4C79-8DFC-F5D2AC0CE567}">
      <formula1>$BA$1:$BA$2</formula1>
    </dataValidation>
    <dataValidation type="list" allowBlank="1" showInputMessage="1" showErrorMessage="1" sqref="C13" xr:uid="{BE49BD8C-C638-45C5-A76F-F2B739F588EA}">
      <formula1>$BK$1:$BK$11</formula1>
    </dataValidation>
    <dataValidation type="list" allowBlank="1" showInputMessage="1" showErrorMessage="1" sqref="B13" xr:uid="{E9D38D94-B3DB-48E7-AE1C-35C9AD8EA121}">
      <formula1>$BH$1:$BH$12</formula1>
    </dataValidation>
    <dataValidation type="list" allowBlank="1" showInputMessage="1" showErrorMessage="1" sqref="B17:B26" xr:uid="{80D75F35-8C0F-49A1-A926-F301DD0F959B}">
      <formula1>$BQ$1:$BQ$24</formula1>
    </dataValidation>
    <dataValidation type="list" allowBlank="1" showInputMessage="1" showErrorMessage="1" sqref="C17:C26" xr:uid="{B257F7B3-8A0A-458C-AFE5-3363710BE6FD}">
      <formula1>$BR$1:$BR$12</formula1>
    </dataValidation>
  </dataValidations>
  <pageMargins left="0.70866141732283472" right="0.70866141732283472" top="0.74803149606299213" bottom="0.74803149606299213" header="0.31496062992125984" footer="0.31496062992125984"/>
  <pageSetup paperSize="9" scale="55" orientation="portrait" horizontalDpi="300" verticalDpi="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E03A1F-4B40-43E6-82E1-4AAE531672A4}">
  <sheetPr>
    <tabColor theme="8" tint="-0.499984740745262"/>
    <pageSetUpPr fitToPage="1"/>
  </sheetPr>
  <dimension ref="A2:AH45"/>
  <sheetViews>
    <sheetView showGridLines="0" workbookViewId="0">
      <selection activeCell="C8" sqref="C8"/>
    </sheetView>
  </sheetViews>
  <sheetFormatPr baseColWidth="10" defaultRowHeight="14.25" x14ac:dyDescent="0.2"/>
  <cols>
    <col min="1" max="1" width="14.7109375" style="12" customWidth="1"/>
    <col min="2" max="2" width="19.85546875" style="12" customWidth="1"/>
    <col min="3" max="3" width="26.28515625" style="12" customWidth="1"/>
    <col min="4" max="4" width="25.28515625" style="12" customWidth="1"/>
    <col min="5" max="5" width="14.85546875" style="12" customWidth="1"/>
    <col min="6" max="11" width="11.42578125" style="12"/>
    <col min="12" max="12" width="11.42578125" style="68"/>
    <col min="13" max="25" width="11.42578125" style="12"/>
    <col min="26" max="32" width="0" style="12" hidden="1" customWidth="1"/>
    <col min="33" max="33" width="22.42578125" style="12" hidden="1" customWidth="1"/>
    <col min="34" max="37" width="0" style="12" hidden="1" customWidth="1"/>
    <col min="38" max="16384" width="11.42578125" style="12"/>
  </cols>
  <sheetData>
    <row r="2" spans="1:34" x14ac:dyDescent="0.2">
      <c r="B2" s="66" t="s">
        <v>75</v>
      </c>
    </row>
    <row r="5" spans="1:34" ht="18" x14ac:dyDescent="0.25">
      <c r="A5" s="124" t="s">
        <v>40</v>
      </c>
      <c r="B5" s="124"/>
      <c r="C5" s="124"/>
      <c r="D5" s="124"/>
      <c r="E5" s="67"/>
      <c r="F5" s="67"/>
      <c r="G5" s="67"/>
      <c r="H5" s="67"/>
      <c r="AE5" s="13">
        <f>+DATE(AE8,AE7,1)</f>
        <v>46023</v>
      </c>
    </row>
    <row r="7" spans="1:34" x14ac:dyDescent="0.2">
      <c r="A7" s="16"/>
      <c r="B7" s="17" t="s">
        <v>3</v>
      </c>
      <c r="C7" s="17" t="s">
        <v>4</v>
      </c>
      <c r="AD7" s="16" t="s">
        <v>17</v>
      </c>
      <c r="AE7" s="16">
        <f>+VLOOKUP(B8,'Indemnité d''entretiens'!AA1:AB12,2,FALSE)</f>
        <v>1</v>
      </c>
      <c r="AG7" s="16" t="s">
        <v>37</v>
      </c>
      <c r="AH7" s="16">
        <f>+VLOOKUP(AE5,Paramètres!A3:G20,2,TRUE)</f>
        <v>2.65</v>
      </c>
    </row>
    <row r="8" spans="1:34" x14ac:dyDescent="0.2">
      <c r="A8" s="18" t="s">
        <v>2</v>
      </c>
      <c r="B8" s="64" t="s">
        <v>5</v>
      </c>
      <c r="C8" s="64">
        <v>2026</v>
      </c>
      <c r="AD8" s="16" t="s">
        <v>18</v>
      </c>
      <c r="AE8" s="16">
        <f>+C8</f>
        <v>2026</v>
      </c>
      <c r="AG8" s="16" t="s">
        <v>38</v>
      </c>
      <c r="AH8" s="16">
        <f>+VLOOKUP(AE5,Paramètres!A3:G20,3,TRUE)</f>
        <v>3.83</v>
      </c>
    </row>
    <row r="9" spans="1:34" x14ac:dyDescent="0.2">
      <c r="A9" s="18"/>
      <c r="B9" s="69"/>
      <c r="C9" s="69"/>
      <c r="AG9" s="16" t="s">
        <v>39</v>
      </c>
      <c r="AH9" s="16">
        <f>+VLOOKUP(AE5,Paramètres!A3:G20,6,TRUE)</f>
        <v>6.2270000000000003</v>
      </c>
    </row>
    <row r="10" spans="1:34" ht="15" thickBot="1" x14ac:dyDescent="0.25">
      <c r="A10" s="18"/>
      <c r="B10" s="69"/>
      <c r="C10" s="69"/>
      <c r="AG10" s="16"/>
      <c r="AH10" s="16"/>
    </row>
    <row r="11" spans="1:34" ht="44.25" customHeight="1" thickBot="1" x14ac:dyDescent="0.25">
      <c r="B11" s="70" t="s">
        <v>36</v>
      </c>
      <c r="C11" s="70" t="s">
        <v>41</v>
      </c>
    </row>
    <row r="12" spans="1:34" ht="20.25" customHeight="1" x14ac:dyDescent="0.2">
      <c r="B12" s="71" t="str">
        <f>+IF(AC12=0,AB12&amp;" heure",AB12&amp;" h et "&amp;AC12&amp;" min")</f>
        <v>1 heure</v>
      </c>
      <c r="C12" s="76">
        <f t="shared" ref="C12:C41" si="0">ROUND(+IF(AA12&lt;$AH$9,$AH$7,$AH$8/9*AA12),2)</f>
        <v>2.65</v>
      </c>
      <c r="AA12" s="68">
        <v>1</v>
      </c>
      <c r="AB12" s="72">
        <f>+ROUND(INT(AA12),0)</f>
        <v>1</v>
      </c>
      <c r="AC12" s="12">
        <f>+ROUND((AA12-AB12)*60/100*100,0)</f>
        <v>0</v>
      </c>
    </row>
    <row r="13" spans="1:34" ht="20.25" customHeight="1" x14ac:dyDescent="0.2">
      <c r="B13" s="73" t="str">
        <f t="shared" ref="B13:B41" si="1">+IF(AC13=0,AB13&amp;" heures",AB13&amp;" h et "&amp;AC13&amp;" min")</f>
        <v>2 heures</v>
      </c>
      <c r="C13" s="77">
        <f t="shared" si="0"/>
        <v>2.65</v>
      </c>
      <c r="AA13" s="68">
        <v>2</v>
      </c>
      <c r="AB13" s="72">
        <f t="shared" ref="AB13:AB41" si="2">+ROUND(INT(AA13),0)</f>
        <v>2</v>
      </c>
      <c r="AC13" s="12">
        <f t="shared" ref="AC13:AC24" si="3">+ROUND((AA13-AB13)*60/100*100,0)</f>
        <v>0</v>
      </c>
    </row>
    <row r="14" spans="1:34" ht="20.25" customHeight="1" x14ac:dyDescent="0.2">
      <c r="B14" s="73" t="str">
        <f t="shared" si="1"/>
        <v>3 heures</v>
      </c>
      <c r="C14" s="77">
        <f t="shared" si="0"/>
        <v>2.65</v>
      </c>
      <c r="AA14" s="68">
        <v>3</v>
      </c>
      <c r="AB14" s="72">
        <f t="shared" si="2"/>
        <v>3</v>
      </c>
      <c r="AC14" s="12">
        <f t="shared" si="3"/>
        <v>0</v>
      </c>
    </row>
    <row r="15" spans="1:34" ht="20.25" customHeight="1" x14ac:dyDescent="0.2">
      <c r="B15" s="73" t="str">
        <f t="shared" si="1"/>
        <v>4 heures</v>
      </c>
      <c r="C15" s="77">
        <f t="shared" si="0"/>
        <v>2.65</v>
      </c>
      <c r="AA15" s="68">
        <v>4</v>
      </c>
      <c r="AB15" s="72">
        <f t="shared" si="2"/>
        <v>4</v>
      </c>
      <c r="AC15" s="12">
        <f t="shared" si="3"/>
        <v>0</v>
      </c>
    </row>
    <row r="16" spans="1:34" ht="20.25" customHeight="1" x14ac:dyDescent="0.2">
      <c r="B16" s="73" t="str">
        <f t="shared" si="1"/>
        <v>5 heures</v>
      </c>
      <c r="C16" s="77">
        <f t="shared" si="0"/>
        <v>2.65</v>
      </c>
      <c r="AA16" s="68">
        <v>5</v>
      </c>
      <c r="AB16" s="72">
        <f t="shared" si="2"/>
        <v>5</v>
      </c>
      <c r="AC16" s="12">
        <f t="shared" si="3"/>
        <v>0</v>
      </c>
    </row>
    <row r="17" spans="2:29" ht="20.25" customHeight="1" x14ac:dyDescent="0.2">
      <c r="B17" s="73" t="str">
        <f t="shared" si="1"/>
        <v>6 heures</v>
      </c>
      <c r="C17" s="77">
        <f t="shared" si="0"/>
        <v>2.65</v>
      </c>
      <c r="AA17" s="68">
        <v>6</v>
      </c>
      <c r="AB17" s="72">
        <f t="shared" si="2"/>
        <v>6</v>
      </c>
      <c r="AC17" s="12">
        <f t="shared" si="3"/>
        <v>0</v>
      </c>
    </row>
    <row r="18" spans="2:29" ht="20.25" customHeight="1" x14ac:dyDescent="0.2">
      <c r="B18" s="73" t="str">
        <f t="shared" si="1"/>
        <v>6 h et 15 min</v>
      </c>
      <c r="C18" s="77">
        <f t="shared" si="0"/>
        <v>2.66</v>
      </c>
      <c r="AA18" s="68">
        <v>6.25</v>
      </c>
      <c r="AB18" s="72">
        <f t="shared" si="2"/>
        <v>6</v>
      </c>
      <c r="AC18" s="12">
        <f t="shared" si="3"/>
        <v>15</v>
      </c>
    </row>
    <row r="19" spans="2:29" ht="20.25" customHeight="1" x14ac:dyDescent="0.2">
      <c r="B19" s="73" t="str">
        <f t="shared" si="1"/>
        <v>6 h et 30 min</v>
      </c>
      <c r="C19" s="77">
        <f t="shared" si="0"/>
        <v>2.77</v>
      </c>
      <c r="AA19" s="68">
        <v>6.5</v>
      </c>
      <c r="AB19" s="72">
        <f t="shared" si="2"/>
        <v>6</v>
      </c>
      <c r="AC19" s="12">
        <f t="shared" si="3"/>
        <v>30</v>
      </c>
    </row>
    <row r="20" spans="2:29" ht="20.25" customHeight="1" x14ac:dyDescent="0.2">
      <c r="B20" s="73" t="str">
        <f t="shared" si="1"/>
        <v>6 h et 45 min</v>
      </c>
      <c r="C20" s="77">
        <f t="shared" si="0"/>
        <v>2.87</v>
      </c>
      <c r="AA20" s="68">
        <v>6.75</v>
      </c>
      <c r="AB20" s="72">
        <f t="shared" si="2"/>
        <v>6</v>
      </c>
      <c r="AC20" s="12">
        <f t="shared" si="3"/>
        <v>45</v>
      </c>
    </row>
    <row r="21" spans="2:29" ht="20.25" customHeight="1" x14ac:dyDescent="0.2">
      <c r="B21" s="73" t="str">
        <f t="shared" si="1"/>
        <v>7 heures</v>
      </c>
      <c r="C21" s="77">
        <f t="shared" si="0"/>
        <v>2.98</v>
      </c>
      <c r="AA21" s="68">
        <v>7</v>
      </c>
      <c r="AB21" s="72">
        <f t="shared" si="2"/>
        <v>7</v>
      </c>
      <c r="AC21" s="12">
        <f t="shared" si="3"/>
        <v>0</v>
      </c>
    </row>
    <row r="22" spans="2:29" ht="20.25" customHeight="1" x14ac:dyDescent="0.2">
      <c r="B22" s="73" t="str">
        <f t="shared" si="1"/>
        <v>7 h et 15 min</v>
      </c>
      <c r="C22" s="77">
        <f t="shared" si="0"/>
        <v>3.09</v>
      </c>
      <c r="AA22" s="68">
        <v>7.25</v>
      </c>
      <c r="AB22" s="72">
        <f t="shared" si="2"/>
        <v>7</v>
      </c>
      <c r="AC22" s="12">
        <f t="shared" si="3"/>
        <v>15</v>
      </c>
    </row>
    <row r="23" spans="2:29" ht="20.25" customHeight="1" x14ac:dyDescent="0.2">
      <c r="B23" s="73" t="str">
        <f t="shared" si="1"/>
        <v>7 h et 30 min</v>
      </c>
      <c r="C23" s="77">
        <f t="shared" si="0"/>
        <v>3.19</v>
      </c>
      <c r="AA23" s="68">
        <v>7.5</v>
      </c>
      <c r="AB23" s="72">
        <f t="shared" si="2"/>
        <v>7</v>
      </c>
      <c r="AC23" s="12">
        <f t="shared" si="3"/>
        <v>30</v>
      </c>
    </row>
    <row r="24" spans="2:29" ht="20.25" customHeight="1" x14ac:dyDescent="0.2">
      <c r="B24" s="73" t="str">
        <f t="shared" si="1"/>
        <v>7 h et 45 min</v>
      </c>
      <c r="C24" s="77">
        <f t="shared" si="0"/>
        <v>3.3</v>
      </c>
      <c r="AA24" s="68">
        <v>7.75</v>
      </c>
      <c r="AB24" s="72">
        <f t="shared" si="2"/>
        <v>7</v>
      </c>
      <c r="AC24" s="12">
        <f t="shared" si="3"/>
        <v>45</v>
      </c>
    </row>
    <row r="25" spans="2:29" ht="20.25" customHeight="1" x14ac:dyDescent="0.2">
      <c r="B25" s="73" t="str">
        <f t="shared" si="1"/>
        <v>8 heures</v>
      </c>
      <c r="C25" s="77">
        <f t="shared" si="0"/>
        <v>3.4</v>
      </c>
      <c r="AA25" s="68">
        <v>8</v>
      </c>
      <c r="AB25" s="72">
        <f t="shared" si="2"/>
        <v>8</v>
      </c>
      <c r="AC25" s="12">
        <f t="shared" ref="AC25:AC41" si="4">+ROUND((AA25-AB25)*60/100*100,0)</f>
        <v>0</v>
      </c>
    </row>
    <row r="26" spans="2:29" ht="20.25" customHeight="1" x14ac:dyDescent="0.2">
      <c r="B26" s="73" t="str">
        <f t="shared" si="1"/>
        <v>8 h et 15 min</v>
      </c>
      <c r="C26" s="77">
        <f t="shared" si="0"/>
        <v>3.51</v>
      </c>
      <c r="AA26" s="68">
        <v>8.25</v>
      </c>
      <c r="AB26" s="72">
        <f t="shared" si="2"/>
        <v>8</v>
      </c>
      <c r="AC26" s="12">
        <f t="shared" si="4"/>
        <v>15</v>
      </c>
    </row>
    <row r="27" spans="2:29" ht="20.25" customHeight="1" x14ac:dyDescent="0.2">
      <c r="B27" s="73" t="str">
        <f t="shared" si="1"/>
        <v>8 h et 30 min</v>
      </c>
      <c r="C27" s="77">
        <f t="shared" si="0"/>
        <v>3.62</v>
      </c>
      <c r="AA27" s="68">
        <v>8.5</v>
      </c>
      <c r="AB27" s="72">
        <f t="shared" si="2"/>
        <v>8</v>
      </c>
      <c r="AC27" s="12">
        <f t="shared" si="4"/>
        <v>30</v>
      </c>
    </row>
    <row r="28" spans="2:29" ht="20.25" customHeight="1" x14ac:dyDescent="0.2">
      <c r="B28" s="73" t="str">
        <f t="shared" si="1"/>
        <v>8 h et 45 min</v>
      </c>
      <c r="C28" s="77">
        <f t="shared" si="0"/>
        <v>3.72</v>
      </c>
      <c r="AA28" s="68">
        <v>8.75</v>
      </c>
      <c r="AB28" s="72">
        <f t="shared" si="2"/>
        <v>8</v>
      </c>
      <c r="AC28" s="12">
        <f t="shared" si="4"/>
        <v>45</v>
      </c>
    </row>
    <row r="29" spans="2:29" ht="20.25" customHeight="1" x14ac:dyDescent="0.2">
      <c r="B29" s="73" t="str">
        <f t="shared" si="1"/>
        <v>9 heures</v>
      </c>
      <c r="C29" s="77">
        <f t="shared" si="0"/>
        <v>3.83</v>
      </c>
      <c r="AA29" s="68">
        <v>9</v>
      </c>
      <c r="AB29" s="72">
        <f t="shared" si="2"/>
        <v>9</v>
      </c>
      <c r="AC29" s="12">
        <f t="shared" si="4"/>
        <v>0</v>
      </c>
    </row>
    <row r="30" spans="2:29" ht="20.25" customHeight="1" x14ac:dyDescent="0.2">
      <c r="B30" s="73" t="str">
        <f t="shared" si="1"/>
        <v>9 h et 15 min</v>
      </c>
      <c r="C30" s="77">
        <f t="shared" si="0"/>
        <v>3.94</v>
      </c>
      <c r="AA30" s="68">
        <v>9.25</v>
      </c>
      <c r="AB30" s="72">
        <f t="shared" si="2"/>
        <v>9</v>
      </c>
      <c r="AC30" s="12">
        <f t="shared" si="4"/>
        <v>15</v>
      </c>
    </row>
    <row r="31" spans="2:29" ht="20.25" customHeight="1" x14ac:dyDescent="0.2">
      <c r="B31" s="73" t="str">
        <f t="shared" si="1"/>
        <v>9 h et 30 min</v>
      </c>
      <c r="C31" s="77">
        <f t="shared" si="0"/>
        <v>4.04</v>
      </c>
      <c r="AA31" s="68">
        <v>9.5</v>
      </c>
      <c r="AB31" s="72">
        <f t="shared" si="2"/>
        <v>9</v>
      </c>
      <c r="AC31" s="12">
        <f t="shared" si="4"/>
        <v>30</v>
      </c>
    </row>
    <row r="32" spans="2:29" ht="20.25" customHeight="1" x14ac:dyDescent="0.2">
      <c r="B32" s="73" t="str">
        <f t="shared" si="1"/>
        <v>9 h et 45 min</v>
      </c>
      <c r="C32" s="77">
        <f t="shared" si="0"/>
        <v>4.1500000000000004</v>
      </c>
      <c r="AA32" s="68">
        <v>9.75</v>
      </c>
      <c r="AB32" s="72">
        <f t="shared" si="2"/>
        <v>9</v>
      </c>
      <c r="AC32" s="12">
        <f t="shared" si="4"/>
        <v>45</v>
      </c>
    </row>
    <row r="33" spans="2:29" ht="20.25" customHeight="1" x14ac:dyDescent="0.2">
      <c r="B33" s="73" t="str">
        <f t="shared" si="1"/>
        <v>10 heures</v>
      </c>
      <c r="C33" s="77">
        <f t="shared" si="0"/>
        <v>4.26</v>
      </c>
      <c r="AA33" s="68">
        <v>10</v>
      </c>
      <c r="AB33" s="72">
        <f t="shared" si="2"/>
        <v>10</v>
      </c>
      <c r="AC33" s="12">
        <f t="shared" si="4"/>
        <v>0</v>
      </c>
    </row>
    <row r="34" spans="2:29" ht="20.25" customHeight="1" x14ac:dyDescent="0.2">
      <c r="B34" s="73" t="str">
        <f t="shared" si="1"/>
        <v>10 h et 15 min</v>
      </c>
      <c r="C34" s="77">
        <f t="shared" si="0"/>
        <v>4.3600000000000003</v>
      </c>
      <c r="AA34" s="68">
        <v>10.25</v>
      </c>
      <c r="AB34" s="72">
        <f t="shared" si="2"/>
        <v>10</v>
      </c>
      <c r="AC34" s="12">
        <f t="shared" si="4"/>
        <v>15</v>
      </c>
    </row>
    <row r="35" spans="2:29" ht="20.25" customHeight="1" x14ac:dyDescent="0.2">
      <c r="B35" s="73" t="str">
        <f t="shared" si="1"/>
        <v>10 h et 30 min</v>
      </c>
      <c r="C35" s="77">
        <f t="shared" si="0"/>
        <v>4.47</v>
      </c>
      <c r="AA35" s="68">
        <v>10.5</v>
      </c>
      <c r="AB35" s="72">
        <f t="shared" si="2"/>
        <v>10</v>
      </c>
      <c r="AC35" s="12">
        <f t="shared" si="4"/>
        <v>30</v>
      </c>
    </row>
    <row r="36" spans="2:29" ht="20.25" customHeight="1" x14ac:dyDescent="0.2">
      <c r="B36" s="73" t="str">
        <f t="shared" si="1"/>
        <v>10 h et 45 min</v>
      </c>
      <c r="C36" s="77">
        <f t="shared" si="0"/>
        <v>4.57</v>
      </c>
      <c r="AA36" s="68">
        <v>10.75</v>
      </c>
      <c r="AB36" s="72">
        <f t="shared" si="2"/>
        <v>10</v>
      </c>
      <c r="AC36" s="12">
        <f t="shared" si="4"/>
        <v>45</v>
      </c>
    </row>
    <row r="37" spans="2:29" ht="20.25" customHeight="1" x14ac:dyDescent="0.2">
      <c r="B37" s="73" t="str">
        <f t="shared" si="1"/>
        <v>11 heures</v>
      </c>
      <c r="C37" s="77">
        <f t="shared" si="0"/>
        <v>4.68</v>
      </c>
      <c r="AA37" s="68">
        <v>11</v>
      </c>
      <c r="AB37" s="72">
        <f t="shared" si="2"/>
        <v>11</v>
      </c>
      <c r="AC37" s="12">
        <f t="shared" si="4"/>
        <v>0</v>
      </c>
    </row>
    <row r="38" spans="2:29" ht="20.25" customHeight="1" x14ac:dyDescent="0.2">
      <c r="B38" s="73" t="str">
        <f t="shared" si="1"/>
        <v>11 h et 15 min</v>
      </c>
      <c r="C38" s="77">
        <f t="shared" si="0"/>
        <v>4.79</v>
      </c>
      <c r="AA38" s="68">
        <v>11.25</v>
      </c>
      <c r="AB38" s="72">
        <f t="shared" si="2"/>
        <v>11</v>
      </c>
      <c r="AC38" s="12">
        <f t="shared" si="4"/>
        <v>15</v>
      </c>
    </row>
    <row r="39" spans="2:29" ht="20.25" customHeight="1" x14ac:dyDescent="0.2">
      <c r="B39" s="73" t="str">
        <f t="shared" si="1"/>
        <v>11 h et 30 min</v>
      </c>
      <c r="C39" s="77">
        <f t="shared" si="0"/>
        <v>4.8899999999999997</v>
      </c>
      <c r="AA39" s="68">
        <v>11.5</v>
      </c>
      <c r="AB39" s="72">
        <f t="shared" si="2"/>
        <v>11</v>
      </c>
      <c r="AC39" s="12">
        <f t="shared" si="4"/>
        <v>30</v>
      </c>
    </row>
    <row r="40" spans="2:29" ht="20.25" customHeight="1" x14ac:dyDescent="0.2">
      <c r="B40" s="73" t="str">
        <f t="shared" si="1"/>
        <v>11 h et 45 min</v>
      </c>
      <c r="C40" s="77">
        <f t="shared" si="0"/>
        <v>5</v>
      </c>
      <c r="AA40" s="68">
        <v>11.75</v>
      </c>
      <c r="AB40" s="72">
        <f t="shared" si="2"/>
        <v>11</v>
      </c>
      <c r="AC40" s="12">
        <f t="shared" si="4"/>
        <v>45</v>
      </c>
    </row>
    <row r="41" spans="2:29" ht="20.25" customHeight="1" thickBot="1" x14ac:dyDescent="0.25">
      <c r="B41" s="74" t="str">
        <f t="shared" si="1"/>
        <v>12 heures</v>
      </c>
      <c r="C41" s="78">
        <f t="shared" si="0"/>
        <v>5.1100000000000003</v>
      </c>
      <c r="AA41" s="68">
        <v>12</v>
      </c>
      <c r="AB41" s="72">
        <f t="shared" si="2"/>
        <v>12</v>
      </c>
      <c r="AC41" s="12">
        <f t="shared" si="4"/>
        <v>0</v>
      </c>
    </row>
    <row r="42" spans="2:29" x14ac:dyDescent="0.2">
      <c r="B42" s="75"/>
    </row>
    <row r="43" spans="2:29" x14ac:dyDescent="0.2">
      <c r="B43" s="75"/>
    </row>
    <row r="44" spans="2:29" x14ac:dyDescent="0.2">
      <c r="B44" s="75"/>
    </row>
    <row r="45" spans="2:29" x14ac:dyDescent="0.2">
      <c r="B45" s="75"/>
    </row>
  </sheetData>
  <sheetProtection algorithmName="SHA-512" hashValue="X5bTtlEmhoWFEMkuhX8ceXZQ0ru1aO5Reb19enSHuFtPyxKQ1ab967u1C6RvYC4PuK+T1JM730hqyRSjjwhUVg==" saltValue="KbYgGyBd43b7Dhui6xppLQ==" spinCount="100000" sheet="1" formatCells="0" formatColumns="0" formatRows="0" insertColumns="0" insertRows="0" sort="0" autoFilter="0" pivotTables="0"/>
  <mergeCells count="1">
    <mergeCell ref="A5:D5"/>
  </mergeCells>
  <phoneticPr fontId="7" type="noConversion"/>
  <dataValidations count="2">
    <dataValidation type="list" allowBlank="1" showInputMessage="1" showErrorMessage="1" sqref="B9:B10" xr:uid="{69014C94-A8B2-4F92-9B8E-C5955F0753EE}">
      <formula1>$AA$5:$AA$18</formula1>
    </dataValidation>
    <dataValidation type="list" allowBlank="1" showInputMessage="1" showErrorMessage="1" sqref="C9:C10" xr:uid="{46A4B662-1FD4-4B8B-A7E2-6639958A93B2}">
      <formula1>$AD$5:$AD$17</formula1>
    </dataValidation>
  </dataValidations>
  <pageMargins left="0.7" right="0.7" top="0.75" bottom="0.75" header="0.3" footer="0.3"/>
  <pageSetup paperSize="9" scale="87" orientation="portrait" horizontalDpi="0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392A280F-44ED-4C51-B2B8-0943A076B2A3}">
          <x14:formula1>
            <xm:f>'Indemnité d''entretiens'!$AA$1:$AA$12</xm:f>
          </x14:formula1>
          <xm:sqref>B8</xm:sqref>
        </x14:dataValidation>
        <x14:dataValidation type="list" allowBlank="1" showInputMessage="1" showErrorMessage="1" xr:uid="{3351D165-9E75-4D20-B2E1-4E48BA824C20}">
          <x14:formula1>
            <xm:f>'Indemnité d''entretiens'!$AD$1:$AD$11</xm:f>
          </x14:formula1>
          <xm:sqref>C8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BCE754-A37E-473E-8150-379E4E26302D}">
  <sheetPr>
    <tabColor rgb="FFFFFF00"/>
  </sheetPr>
  <dimension ref="A1:G20"/>
  <sheetViews>
    <sheetView workbookViewId="0">
      <selection activeCell="C13" sqref="C13"/>
    </sheetView>
  </sheetViews>
  <sheetFormatPr baseColWidth="10" defaultRowHeight="15" x14ac:dyDescent="0.25"/>
  <cols>
    <col min="1" max="1" width="21.5703125" style="1" customWidth="1"/>
    <col min="2" max="2" width="27.7109375" style="1" customWidth="1"/>
    <col min="3" max="3" width="32" style="1" customWidth="1"/>
    <col min="4" max="5" width="11.42578125" style="1"/>
    <col min="6" max="6" width="12.5703125" style="1" customWidth="1"/>
    <col min="7" max="16384" width="11.42578125" style="1"/>
  </cols>
  <sheetData>
    <row r="1" spans="1:7" ht="15.75" thickBot="1" x14ac:dyDescent="0.3"/>
    <row r="2" spans="1:7" x14ac:dyDescent="0.25">
      <c r="A2" s="2" t="s">
        <v>19</v>
      </c>
      <c r="B2" s="3" t="s">
        <v>20</v>
      </c>
      <c r="C2" s="3" t="s">
        <v>21</v>
      </c>
      <c r="D2" s="3" t="s">
        <v>22</v>
      </c>
      <c r="E2" s="3" t="s">
        <v>23</v>
      </c>
      <c r="F2" s="3" t="s">
        <v>24</v>
      </c>
      <c r="G2" s="4" t="s">
        <v>23</v>
      </c>
    </row>
    <row r="3" spans="1:7" x14ac:dyDescent="0.25">
      <c r="A3" s="5">
        <v>43466</v>
      </c>
      <c r="B3" s="116">
        <v>2.65</v>
      </c>
      <c r="C3" s="116">
        <v>3.08</v>
      </c>
      <c r="D3" s="1">
        <f>+ROUND(INT(F3),0)</f>
        <v>7</v>
      </c>
      <c r="E3" s="117">
        <f>+IF(G3&gt;=10,G3,"0"&amp;G3)</f>
        <v>45</v>
      </c>
      <c r="F3" s="1">
        <f>ROUND(B3*9/C3,3)</f>
        <v>7.7439999999999998</v>
      </c>
      <c r="G3" s="6">
        <f>+ROUND((F3-D3)*60/100*100,0)</f>
        <v>45</v>
      </c>
    </row>
    <row r="4" spans="1:7" x14ac:dyDescent="0.25">
      <c r="A4" s="5">
        <v>43831</v>
      </c>
      <c r="B4" s="116">
        <v>2.65</v>
      </c>
      <c r="C4" s="116">
        <v>3.1</v>
      </c>
      <c r="D4" s="1">
        <f t="shared" ref="D4" si="0">+ROUND(INT(F4),0)</f>
        <v>7</v>
      </c>
      <c r="E4" s="117">
        <f t="shared" ref="E4" si="1">+IF(G4&gt;=10,G4,"0"&amp;G4)</f>
        <v>42</v>
      </c>
      <c r="F4" s="1">
        <f t="shared" ref="F4" si="2">ROUND(B4*9/C4,3)</f>
        <v>7.694</v>
      </c>
      <c r="G4" s="6">
        <f t="shared" ref="G4" si="3">+ROUND((F4-D4)*60/100*100,0)</f>
        <v>42</v>
      </c>
    </row>
    <row r="5" spans="1:7" x14ac:dyDescent="0.25">
      <c r="A5" s="5">
        <v>44470</v>
      </c>
      <c r="B5" s="116">
        <v>2.65</v>
      </c>
      <c r="C5" s="116">
        <v>3.17</v>
      </c>
      <c r="D5" s="1">
        <f>IFERROR(+ROUND(INT(F5),0),"")</f>
        <v>7</v>
      </c>
      <c r="E5" s="117">
        <f>IFERROR(+IF(G5&gt;=10,G5,"0"&amp;G5),"")</f>
        <v>31</v>
      </c>
      <c r="F5" s="1">
        <f>IFERROR(ROUND(B5*9/C5,3),"")</f>
        <v>7.524</v>
      </c>
      <c r="G5" s="6">
        <f>IFERROR(+ROUND((F5-D5)*60/100*100,0),"")</f>
        <v>31</v>
      </c>
    </row>
    <row r="6" spans="1:7" x14ac:dyDescent="0.25">
      <c r="A6" s="5">
        <v>44562</v>
      </c>
      <c r="B6" s="116">
        <v>2.65</v>
      </c>
      <c r="C6" s="116">
        <v>3.39</v>
      </c>
      <c r="D6" s="1">
        <f t="shared" ref="D6:D20" si="4">IFERROR(+ROUND(INT(F6),0),"")</f>
        <v>7</v>
      </c>
      <c r="E6" s="117" t="str">
        <f t="shared" ref="E6:E20" si="5">IFERROR(+IF(G6&gt;=10,G6,"0"&amp;G6),"")</f>
        <v>02</v>
      </c>
      <c r="F6" s="1">
        <f t="shared" ref="F6:F20" si="6">IFERROR(ROUND(B6*9/C6,3),"")</f>
        <v>7.0350000000000001</v>
      </c>
      <c r="G6" s="6">
        <f t="shared" ref="G6:G20" si="7">IFERROR(+ROUND((F6-D6)*60/100*100,0),"")</f>
        <v>2</v>
      </c>
    </row>
    <row r="7" spans="1:7" x14ac:dyDescent="0.25">
      <c r="A7" s="5">
        <v>44682</v>
      </c>
      <c r="B7" s="116">
        <v>2.65</v>
      </c>
      <c r="C7" s="116">
        <v>3.48</v>
      </c>
      <c r="D7" s="1">
        <f t="shared" si="4"/>
        <v>6</v>
      </c>
      <c r="E7" s="117">
        <f t="shared" si="5"/>
        <v>51</v>
      </c>
      <c r="F7" s="1">
        <f t="shared" si="6"/>
        <v>6.8529999999999998</v>
      </c>
      <c r="G7" s="6">
        <f t="shared" si="7"/>
        <v>51</v>
      </c>
    </row>
    <row r="8" spans="1:7" x14ac:dyDescent="0.25">
      <c r="A8" s="5">
        <v>44774</v>
      </c>
      <c r="B8" s="116">
        <v>2.65</v>
      </c>
      <c r="C8" s="116">
        <v>3.5449999999999999</v>
      </c>
      <c r="D8" s="1">
        <f t="shared" si="4"/>
        <v>6</v>
      </c>
      <c r="E8" s="117">
        <f t="shared" si="5"/>
        <v>44</v>
      </c>
      <c r="F8" s="1">
        <f t="shared" si="6"/>
        <v>6.7279999999999998</v>
      </c>
      <c r="G8" s="6">
        <f t="shared" si="7"/>
        <v>44</v>
      </c>
    </row>
    <row r="9" spans="1:7" x14ac:dyDescent="0.25">
      <c r="A9" s="5">
        <v>44927</v>
      </c>
      <c r="B9" s="116">
        <v>2.65</v>
      </c>
      <c r="C9" s="116">
        <v>3.61</v>
      </c>
      <c r="D9" s="1">
        <f t="shared" si="4"/>
        <v>6</v>
      </c>
      <c r="E9" s="117">
        <f t="shared" si="5"/>
        <v>36</v>
      </c>
      <c r="F9" s="1">
        <f t="shared" si="6"/>
        <v>6.6070000000000002</v>
      </c>
      <c r="G9" s="6">
        <f t="shared" si="7"/>
        <v>36</v>
      </c>
    </row>
    <row r="10" spans="1:7" x14ac:dyDescent="0.25">
      <c r="A10" s="5">
        <v>45047</v>
      </c>
      <c r="B10" s="116">
        <v>2.65</v>
      </c>
      <c r="C10" s="116">
        <v>3.69</v>
      </c>
      <c r="D10" s="1">
        <f t="shared" si="4"/>
        <v>6</v>
      </c>
      <c r="E10" s="117">
        <f t="shared" si="5"/>
        <v>28</v>
      </c>
      <c r="F10" s="1">
        <f t="shared" si="6"/>
        <v>6.4630000000000001</v>
      </c>
      <c r="G10" s="6">
        <f t="shared" si="7"/>
        <v>28</v>
      </c>
    </row>
    <row r="11" spans="1:7" x14ac:dyDescent="0.25">
      <c r="A11" s="120">
        <v>45292</v>
      </c>
      <c r="B11" s="121">
        <v>2.65</v>
      </c>
      <c r="C11" s="121">
        <v>3.74</v>
      </c>
      <c r="D11" s="1">
        <f t="shared" si="4"/>
        <v>6</v>
      </c>
      <c r="E11" s="117">
        <f t="shared" si="5"/>
        <v>23</v>
      </c>
      <c r="F11" s="1">
        <f t="shared" si="6"/>
        <v>6.3769999999999998</v>
      </c>
      <c r="G11" s="6">
        <f t="shared" si="7"/>
        <v>23</v>
      </c>
    </row>
    <row r="12" spans="1:7" x14ac:dyDescent="0.25">
      <c r="A12" s="120">
        <v>45597</v>
      </c>
      <c r="B12" s="121">
        <v>2.65</v>
      </c>
      <c r="C12" s="121">
        <v>3.8</v>
      </c>
      <c r="D12" s="1">
        <f t="shared" si="4"/>
        <v>6</v>
      </c>
      <c r="E12" s="117">
        <f t="shared" si="5"/>
        <v>17</v>
      </c>
      <c r="F12" s="1">
        <f t="shared" si="6"/>
        <v>6.2759999999999998</v>
      </c>
      <c r="G12" s="6">
        <f t="shared" si="7"/>
        <v>17</v>
      </c>
    </row>
    <row r="13" spans="1:7" x14ac:dyDescent="0.25">
      <c r="A13" s="122">
        <v>46023</v>
      </c>
      <c r="B13" s="123">
        <v>2.65</v>
      </c>
      <c r="C13" s="123">
        <v>3.83</v>
      </c>
      <c r="D13" s="1">
        <f t="shared" si="4"/>
        <v>6</v>
      </c>
      <c r="E13" s="117">
        <f t="shared" si="5"/>
        <v>14</v>
      </c>
      <c r="F13" s="1">
        <f t="shared" si="6"/>
        <v>6.2270000000000003</v>
      </c>
      <c r="G13" s="6">
        <f t="shared" si="7"/>
        <v>14</v>
      </c>
    </row>
    <row r="14" spans="1:7" x14ac:dyDescent="0.25">
      <c r="A14" s="10"/>
      <c r="B14" s="118"/>
      <c r="C14" s="118"/>
      <c r="D14" s="1" t="str">
        <f t="shared" si="4"/>
        <v/>
      </c>
      <c r="E14" s="117" t="str">
        <f t="shared" si="5"/>
        <v/>
      </c>
      <c r="F14" s="1" t="str">
        <f t="shared" si="6"/>
        <v/>
      </c>
      <c r="G14" s="6" t="str">
        <f t="shared" si="7"/>
        <v/>
      </c>
    </row>
    <row r="15" spans="1:7" x14ac:dyDescent="0.25">
      <c r="A15" s="10"/>
      <c r="B15" s="118"/>
      <c r="C15" s="118"/>
      <c r="D15" s="1" t="str">
        <f t="shared" si="4"/>
        <v/>
      </c>
      <c r="E15" s="117" t="str">
        <f t="shared" si="5"/>
        <v/>
      </c>
      <c r="F15" s="1" t="str">
        <f t="shared" si="6"/>
        <v/>
      </c>
      <c r="G15" s="6" t="str">
        <f t="shared" si="7"/>
        <v/>
      </c>
    </row>
    <row r="16" spans="1:7" x14ac:dyDescent="0.25">
      <c r="A16" s="10"/>
      <c r="B16" s="118"/>
      <c r="C16" s="118"/>
      <c r="D16" s="1" t="str">
        <f t="shared" si="4"/>
        <v/>
      </c>
      <c r="E16" s="117" t="str">
        <f t="shared" si="5"/>
        <v/>
      </c>
      <c r="F16" s="1" t="str">
        <f t="shared" si="6"/>
        <v/>
      </c>
      <c r="G16" s="6" t="str">
        <f t="shared" si="7"/>
        <v/>
      </c>
    </row>
    <row r="17" spans="1:7" x14ac:dyDescent="0.25">
      <c r="A17" s="10"/>
      <c r="B17" s="118"/>
      <c r="C17" s="118"/>
      <c r="D17" s="1" t="str">
        <f t="shared" si="4"/>
        <v/>
      </c>
      <c r="E17" s="117" t="str">
        <f t="shared" si="5"/>
        <v/>
      </c>
      <c r="F17" s="1" t="str">
        <f t="shared" si="6"/>
        <v/>
      </c>
      <c r="G17" s="6" t="str">
        <f t="shared" si="7"/>
        <v/>
      </c>
    </row>
    <row r="18" spans="1:7" x14ac:dyDescent="0.25">
      <c r="A18" s="10"/>
      <c r="B18" s="118"/>
      <c r="C18" s="118"/>
      <c r="D18" s="1" t="str">
        <f t="shared" si="4"/>
        <v/>
      </c>
      <c r="E18" s="117" t="str">
        <f t="shared" si="5"/>
        <v/>
      </c>
      <c r="F18" s="1" t="str">
        <f t="shared" si="6"/>
        <v/>
      </c>
      <c r="G18" s="6" t="str">
        <f t="shared" si="7"/>
        <v/>
      </c>
    </row>
    <row r="19" spans="1:7" x14ac:dyDescent="0.25">
      <c r="A19" s="10"/>
      <c r="B19" s="118"/>
      <c r="C19" s="118"/>
      <c r="D19" s="1" t="str">
        <f t="shared" si="4"/>
        <v/>
      </c>
      <c r="E19" s="117" t="str">
        <f t="shared" si="5"/>
        <v/>
      </c>
      <c r="F19" s="1" t="str">
        <f t="shared" si="6"/>
        <v/>
      </c>
      <c r="G19" s="6" t="str">
        <f t="shared" si="7"/>
        <v/>
      </c>
    </row>
    <row r="20" spans="1:7" ht="15.75" thickBot="1" x14ac:dyDescent="0.3">
      <c r="A20" s="11"/>
      <c r="B20" s="119"/>
      <c r="C20" s="119"/>
      <c r="D20" s="7" t="str">
        <f t="shared" si="4"/>
        <v/>
      </c>
      <c r="E20" s="9" t="str">
        <f t="shared" si="5"/>
        <v/>
      </c>
      <c r="F20" s="7" t="str">
        <f t="shared" si="6"/>
        <v/>
      </c>
      <c r="G20" s="8" t="str">
        <f t="shared" si="7"/>
        <v/>
      </c>
    </row>
  </sheetData>
  <sheetProtection algorithmName="SHA-512" hashValue="2Lm3FUM+yJXBdrHAYEFdGQa7dyuECwQT6XJU3UpLW7EoY5BQTEtwy5zKCJUPmKJECKvizqII90x19cNdis/ZNA==" saltValue="OEf/NKWIjGpGAPXDAM8xjw==" spinCount="100000" sheet="1" formatCells="0" formatColumns="0" formatRows="0" insertColumns="0" insertRows="0" sort="0" autoFilter="0" pivotTables="0"/>
  <pageMargins left="0.7" right="0.7" top="0.75" bottom="0.75" header="0.3" footer="0.3"/>
  <pageSetup paperSize="9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1CDA20-7FA5-4523-ABCF-D1B7704DF9C1}">
  <sheetPr>
    <tabColor rgb="FFF15C5A"/>
    <pageSetUpPr fitToPage="1"/>
  </sheetPr>
  <dimension ref="A1:AM50"/>
  <sheetViews>
    <sheetView showGridLines="0" workbookViewId="0">
      <selection activeCell="D5" sqref="D5"/>
    </sheetView>
  </sheetViews>
  <sheetFormatPr baseColWidth="10" defaultRowHeight="14.25" x14ac:dyDescent="0.2"/>
  <cols>
    <col min="1" max="1" width="14.85546875" style="12" customWidth="1"/>
    <col min="2" max="3" width="6.28515625" style="12" customWidth="1"/>
    <col min="4" max="4" width="18.85546875" style="12" customWidth="1"/>
    <col min="5" max="5" width="18.5703125" style="12" customWidth="1"/>
    <col min="6" max="6" width="4.5703125" style="12" customWidth="1"/>
    <col min="7" max="7" width="18.5703125" style="12" customWidth="1"/>
    <col min="8" max="8" width="13.7109375" style="12" customWidth="1"/>
    <col min="9" max="9" width="11.42578125" style="12"/>
    <col min="10" max="10" width="17.42578125" style="12" customWidth="1"/>
    <col min="11" max="11" width="14.28515625" style="12" customWidth="1"/>
    <col min="12" max="12" width="11.42578125" style="12"/>
    <col min="13" max="13" width="13.5703125" style="12" customWidth="1"/>
    <col min="14" max="14" width="11.85546875" style="12" customWidth="1"/>
    <col min="15" max="25" width="11.42578125" style="12"/>
    <col min="26" max="26" width="11.42578125" style="12" customWidth="1"/>
    <col min="27" max="31" width="11.42578125" style="12" hidden="1" customWidth="1"/>
    <col min="32" max="32" width="23.85546875" style="12" hidden="1" customWidth="1"/>
    <col min="33" max="33" width="19.140625" style="12" hidden="1" customWidth="1"/>
    <col min="34" max="35" width="11.42578125" style="12" hidden="1" customWidth="1"/>
    <col min="36" max="36" width="20.7109375" style="12" hidden="1" customWidth="1"/>
    <col min="37" max="37" width="19.42578125" style="12" hidden="1" customWidth="1"/>
    <col min="38" max="39" width="11.42578125" style="12" hidden="1" customWidth="1"/>
    <col min="40" max="53" width="0" style="12" hidden="1" customWidth="1"/>
    <col min="54" max="16384" width="11.42578125" style="12"/>
  </cols>
  <sheetData>
    <row r="1" spans="1:37" ht="18" x14ac:dyDescent="0.25">
      <c r="B1" s="124" t="s">
        <v>1</v>
      </c>
      <c r="C1" s="124"/>
      <c r="D1" s="124"/>
      <c r="E1" s="124"/>
      <c r="F1" s="124"/>
      <c r="G1" s="124"/>
      <c r="H1" s="124"/>
      <c r="AA1" s="12" t="s">
        <v>5</v>
      </c>
      <c r="AB1" s="12">
        <v>1</v>
      </c>
      <c r="AD1" s="12">
        <v>2020</v>
      </c>
      <c r="AG1" s="13">
        <f>+DATE(AG4,AG3,1)</f>
        <v>44805</v>
      </c>
      <c r="AI1" s="16" t="s">
        <v>46</v>
      </c>
    </row>
    <row r="2" spans="1:37" s="16" customFormat="1" ht="12.75" x14ac:dyDescent="0.2">
      <c r="A2" s="14"/>
      <c r="B2" s="15"/>
      <c r="C2" s="15"/>
      <c r="D2" s="15"/>
      <c r="E2" s="15"/>
      <c r="F2" s="15"/>
      <c r="G2" s="15"/>
      <c r="H2" s="15"/>
      <c r="I2" s="66" t="s">
        <v>35</v>
      </c>
      <c r="AA2" s="16" t="s">
        <v>6</v>
      </c>
      <c r="AB2" s="16">
        <v>2</v>
      </c>
      <c r="AD2" s="16">
        <v>2021</v>
      </c>
      <c r="AI2" s="16" t="s">
        <v>47</v>
      </c>
    </row>
    <row r="3" spans="1:37" s="16" customFormat="1" ht="12.75" x14ac:dyDescent="0.2">
      <c r="AA3" s="16" t="s">
        <v>7</v>
      </c>
      <c r="AB3" s="16">
        <v>3</v>
      </c>
      <c r="AD3" s="16">
        <v>2022</v>
      </c>
      <c r="AF3" s="16" t="s">
        <v>17</v>
      </c>
      <c r="AG3" s="16">
        <f>+VLOOKUP(D5,AA1:AB12,2,FALSE)</f>
        <v>9</v>
      </c>
    </row>
    <row r="4" spans="1:37" s="16" customFormat="1" ht="12.75" x14ac:dyDescent="0.2">
      <c r="D4" s="17" t="s">
        <v>3</v>
      </c>
      <c r="E4" s="17" t="s">
        <v>4</v>
      </c>
      <c r="AA4" s="16" t="s">
        <v>8</v>
      </c>
      <c r="AB4" s="16">
        <v>4</v>
      </c>
      <c r="AD4" s="16">
        <v>2023</v>
      </c>
      <c r="AF4" s="16" t="s">
        <v>18</v>
      </c>
      <c r="AG4" s="16">
        <f>+E5</f>
        <v>2022</v>
      </c>
    </row>
    <row r="5" spans="1:37" s="16" customFormat="1" ht="15.75" customHeight="1" x14ac:dyDescent="0.2">
      <c r="C5" s="82" t="s">
        <v>2</v>
      </c>
      <c r="D5" s="64" t="s">
        <v>13</v>
      </c>
      <c r="E5" s="64">
        <v>2022</v>
      </c>
      <c r="AA5" s="16" t="s">
        <v>9</v>
      </c>
      <c r="AB5" s="16">
        <v>5</v>
      </c>
      <c r="AD5" s="16">
        <v>2024</v>
      </c>
      <c r="AG5" s="19"/>
    </row>
    <row r="6" spans="1:37" s="16" customFormat="1" ht="12.75" x14ac:dyDescent="0.2">
      <c r="E6" s="20"/>
      <c r="F6" s="21">
        <f>DATE(YEAR($AG$1),MONTH($AG$1)+1,DAY($AG$1))</f>
        <v>44835</v>
      </c>
      <c r="G6" s="22">
        <f>F6</f>
        <v>44835</v>
      </c>
      <c r="AA6" s="16" t="s">
        <v>10</v>
      </c>
      <c r="AB6" s="16">
        <v>6</v>
      </c>
      <c r="AD6" s="16">
        <v>2025</v>
      </c>
      <c r="AF6" s="16" t="s">
        <v>28</v>
      </c>
      <c r="AG6" s="16">
        <f>+VLOOKUP(AG1,Paramètres!A3:G20,6,TRUE)</f>
        <v>6.7279999999999998</v>
      </c>
    </row>
    <row r="7" spans="1:37" s="16" customFormat="1" ht="12.75" x14ac:dyDescent="0.2">
      <c r="E7" s="20"/>
      <c r="F7" s="21"/>
      <c r="G7" s="22"/>
      <c r="AA7" s="16" t="s">
        <v>11</v>
      </c>
      <c r="AB7" s="16">
        <v>7</v>
      </c>
      <c r="AD7" s="16">
        <v>2026</v>
      </c>
    </row>
    <row r="8" spans="1:37" s="16" customFormat="1" ht="27.75" customHeight="1" x14ac:dyDescent="0.2">
      <c r="A8" s="143" t="s">
        <v>45</v>
      </c>
      <c r="B8" s="143"/>
      <c r="C8" s="143"/>
      <c r="D8" s="97" t="s">
        <v>47</v>
      </c>
      <c r="E8" s="85" t="str">
        <f>+IF(D8=AI1,"Exemple : 6h et 30 min est saisi 6,50","Exemple : 6h et 30 min est saisi 6:30")</f>
        <v>Exemple : 6h et 30 min est saisi 6:30</v>
      </c>
      <c r="F8" s="21"/>
      <c r="G8" s="22"/>
      <c r="AA8" s="16" t="s">
        <v>12</v>
      </c>
      <c r="AB8" s="16">
        <v>8</v>
      </c>
      <c r="AD8" s="16">
        <v>2027</v>
      </c>
    </row>
    <row r="9" spans="1:37" s="16" customFormat="1" ht="15" customHeight="1" thickBot="1" x14ac:dyDescent="0.25">
      <c r="D9" s="23"/>
      <c r="E9" s="24"/>
      <c r="F9" s="24"/>
      <c r="AA9" s="16" t="s">
        <v>13</v>
      </c>
      <c r="AB9" s="16">
        <v>9</v>
      </c>
      <c r="AD9" s="16">
        <v>2028</v>
      </c>
    </row>
    <row r="10" spans="1:37" s="16" customFormat="1" ht="61.5" customHeight="1" thickBot="1" x14ac:dyDescent="0.25">
      <c r="A10" s="140">
        <f>+$AG$1</f>
        <v>44805</v>
      </c>
      <c r="B10" s="141"/>
      <c r="C10" s="142"/>
      <c r="D10" s="25" t="s">
        <v>44</v>
      </c>
      <c r="E10" s="25" t="s">
        <v>48</v>
      </c>
      <c r="F10" s="26"/>
      <c r="AA10" s="16" t="s">
        <v>14</v>
      </c>
      <c r="AB10" s="16">
        <v>10</v>
      </c>
      <c r="AD10" s="16">
        <v>2029</v>
      </c>
      <c r="AK10" s="25" t="s">
        <v>44</v>
      </c>
    </row>
    <row r="11" spans="1:37" s="16" customFormat="1" ht="15.75" customHeight="1" thickBot="1" x14ac:dyDescent="0.25">
      <c r="F11" s="21"/>
      <c r="AA11" s="16" t="s">
        <v>15</v>
      </c>
      <c r="AB11" s="16">
        <v>11</v>
      </c>
      <c r="AD11" s="16">
        <v>2030</v>
      </c>
      <c r="AK11" s="81"/>
    </row>
    <row r="12" spans="1:37" s="16" customFormat="1" ht="12.75" x14ac:dyDescent="0.2">
      <c r="B12" s="83">
        <f>+AG1</f>
        <v>44805</v>
      </c>
      <c r="C12" s="84">
        <f>+$AG$1</f>
        <v>44805</v>
      </c>
      <c r="D12" s="87"/>
      <c r="E12" s="95"/>
      <c r="G12" s="27" t="s">
        <v>42</v>
      </c>
      <c r="H12" s="27"/>
      <c r="I12" s="27"/>
      <c r="J12" s="28"/>
      <c r="K12" s="28"/>
      <c r="L12" s="28"/>
      <c r="M12" s="28"/>
      <c r="AA12" s="16" t="s">
        <v>16</v>
      </c>
      <c r="AB12" s="16">
        <v>12</v>
      </c>
      <c r="AK12" s="90" t="str">
        <f>+IF(IF($D$8=$AI$1,+D12,E12*24)=0,"",IF($D$8=$AI$1,+D12,E12*24))</f>
        <v/>
      </c>
    </row>
    <row r="13" spans="1:37" s="16" customFormat="1" ht="12.75" x14ac:dyDescent="0.2">
      <c r="B13" s="29">
        <f>C13</f>
        <v>44806</v>
      </c>
      <c r="C13" s="30">
        <f>+$AG$1+1</f>
        <v>44806</v>
      </c>
      <c r="D13" s="88"/>
      <c r="E13" s="93"/>
      <c r="G13" s="28" t="s">
        <v>43</v>
      </c>
      <c r="H13" s="28"/>
      <c r="I13" s="28"/>
      <c r="J13" s="28"/>
      <c r="K13" s="28"/>
      <c r="L13" s="28"/>
      <c r="M13" s="28"/>
      <c r="AH13" s="86"/>
      <c r="AK13" s="91" t="str">
        <f t="shared" ref="AK13:AK42" si="0">+IF(IF($D$8=$AI$1,+D13,E13*24)=0,"",IF($D$8=$AI$1,+D13,E13*24))</f>
        <v/>
      </c>
    </row>
    <row r="14" spans="1:37" s="16" customFormat="1" ht="12.75" x14ac:dyDescent="0.2">
      <c r="B14" s="29">
        <f t="shared" ref="B14:B42" si="1">C14</f>
        <v>44807</v>
      </c>
      <c r="C14" s="30">
        <f>+$AG$1+2</f>
        <v>44807</v>
      </c>
      <c r="D14" s="88"/>
      <c r="E14" s="93"/>
      <c r="G14" s="31"/>
      <c r="H14" s="32"/>
      <c r="I14" s="28"/>
      <c r="J14" s="28"/>
      <c r="K14" s="28"/>
      <c r="L14" s="28"/>
      <c r="M14" s="28"/>
      <c r="AK14" s="91" t="str">
        <f t="shared" si="0"/>
        <v/>
      </c>
    </row>
    <row r="15" spans="1:37" s="16" customFormat="1" ht="12.75" x14ac:dyDescent="0.2">
      <c r="B15" s="29">
        <f t="shared" si="1"/>
        <v>44808</v>
      </c>
      <c r="C15" s="30">
        <f>+$AG$1+3</f>
        <v>44808</v>
      </c>
      <c r="D15" s="88"/>
      <c r="E15" s="93"/>
      <c r="G15" s="28"/>
      <c r="H15" s="28"/>
      <c r="I15" s="28"/>
      <c r="J15" s="28"/>
      <c r="K15" s="33" t="s">
        <v>25</v>
      </c>
      <c r="L15" s="34" t="s">
        <v>26</v>
      </c>
      <c r="M15" s="35" t="s">
        <v>27</v>
      </c>
      <c r="N15" s="36" t="s">
        <v>34</v>
      </c>
      <c r="AK15" s="91" t="str">
        <f t="shared" si="0"/>
        <v/>
      </c>
    </row>
    <row r="16" spans="1:37" s="16" customFormat="1" ht="12.75" x14ac:dyDescent="0.2">
      <c r="B16" s="29">
        <f t="shared" si="1"/>
        <v>44809</v>
      </c>
      <c r="C16" s="30">
        <f>+$AG$1+4</f>
        <v>44809</v>
      </c>
      <c r="D16" s="88"/>
      <c r="E16" s="93"/>
      <c r="G16" s="135" t="str">
        <f>+"La durée de la Journée est inférieure ou égales à "&amp;VLOOKUP(AG1,Paramètres!A3:G20,4,TRUE)&amp;"h"&amp;VLOOKUP(AG1,Paramètres!A3:G20,5,TRUE)&amp;"min ou "&amp;VLOOKUP(AG1,Paramètres!A3:G20,6,TRUE)&amp;"h :"</f>
        <v>La durée de la Journée est inférieure ou égales à 6h44min ou 6,728h :</v>
      </c>
      <c r="H16" s="136"/>
      <c r="I16" s="136"/>
      <c r="J16" s="136"/>
      <c r="K16" s="37">
        <f>+COUNTIF(AK12:AK42,"&lt;="&amp;AG6)</f>
        <v>0</v>
      </c>
      <c r="L16" s="38">
        <f>+VLOOKUP(AG1,Paramètres!A3:G20,2,TRUE)</f>
        <v>2.65</v>
      </c>
      <c r="M16" s="39">
        <f>+L16*K16</f>
        <v>0</v>
      </c>
      <c r="N16" s="40">
        <f>+K16</f>
        <v>0</v>
      </c>
      <c r="AK16" s="91" t="str">
        <f t="shared" si="0"/>
        <v/>
      </c>
    </row>
    <row r="17" spans="2:37" s="16" customFormat="1" ht="12.75" x14ac:dyDescent="0.2">
      <c r="B17" s="29">
        <f t="shared" si="1"/>
        <v>44810</v>
      </c>
      <c r="C17" s="30">
        <f>+$AG$1+5</f>
        <v>44810</v>
      </c>
      <c r="D17" s="88"/>
      <c r="E17" s="93"/>
      <c r="G17" s="137" t="str">
        <f>+"La durée de la Journée est supérieure à "&amp;VLOOKUP(AG1,Paramètres!A3:G20,4,TRUE)&amp;"h"&amp;VLOOKUP(AG1,Paramètres!A3:G20,5,TRUE)&amp;"min ou "&amp;VLOOKUP(AG1,Paramètres!A3:G20,6,TRUE)&amp;"h :"</f>
        <v>La durée de la Journée est supérieure à 6h44min ou 6,728h :</v>
      </c>
      <c r="H17" s="138"/>
      <c r="I17" s="138"/>
      <c r="J17" s="138"/>
      <c r="K17" s="41">
        <f>+SUMIF(AK12:AK42,"&gt;"&amp;AG6)</f>
        <v>0</v>
      </c>
      <c r="L17" s="42">
        <f>ROUND(+VLOOKUP(AG1,Paramètres!A3:G20,3,TRUE)/9,3)</f>
        <v>0.39400000000000002</v>
      </c>
      <c r="M17" s="43">
        <f>+K17*L17</f>
        <v>0</v>
      </c>
      <c r="N17" s="44">
        <f>+COUNTIF(AK12:AK42,"&gt;"&amp;AG6)</f>
        <v>0</v>
      </c>
      <c r="AK17" s="91" t="str">
        <f t="shared" si="0"/>
        <v/>
      </c>
    </row>
    <row r="18" spans="2:37" s="16" customFormat="1" ht="12.75" x14ac:dyDescent="0.2">
      <c r="B18" s="29">
        <f t="shared" si="1"/>
        <v>44811</v>
      </c>
      <c r="C18" s="30">
        <f>+$AG$1+6</f>
        <v>44811</v>
      </c>
      <c r="D18" s="88"/>
      <c r="E18" s="93"/>
      <c r="G18" s="28"/>
      <c r="H18" s="28"/>
      <c r="I18" s="28"/>
      <c r="J18" s="28"/>
      <c r="K18" s="28"/>
      <c r="L18" s="28"/>
      <c r="M18" s="28"/>
      <c r="AK18" s="91" t="str">
        <f t="shared" si="0"/>
        <v/>
      </c>
    </row>
    <row r="19" spans="2:37" s="16" customFormat="1" ht="12.75" x14ac:dyDescent="0.2">
      <c r="B19" s="29">
        <f t="shared" si="1"/>
        <v>44812</v>
      </c>
      <c r="C19" s="30">
        <f>+$AG$1+7</f>
        <v>44812</v>
      </c>
      <c r="D19" s="88"/>
      <c r="E19" s="93"/>
      <c r="G19" s="28"/>
      <c r="H19" s="28"/>
      <c r="I19" s="28"/>
      <c r="J19" s="28"/>
      <c r="K19" s="28"/>
      <c r="L19" s="45" t="s">
        <v>29</v>
      </c>
      <c r="M19" s="46">
        <f>+M17+M16</f>
        <v>0</v>
      </c>
      <c r="AK19" s="91" t="str">
        <f t="shared" si="0"/>
        <v/>
      </c>
    </row>
    <row r="20" spans="2:37" s="16" customFormat="1" ht="12.75" x14ac:dyDescent="0.2">
      <c r="B20" s="29">
        <f t="shared" si="1"/>
        <v>44813</v>
      </c>
      <c r="C20" s="30">
        <f>+$AG$1+8</f>
        <v>44813</v>
      </c>
      <c r="D20" s="88"/>
      <c r="E20" s="93"/>
      <c r="G20" s="47"/>
      <c r="H20" s="48"/>
      <c r="AK20" s="91" t="str">
        <f t="shared" si="0"/>
        <v/>
      </c>
    </row>
    <row r="21" spans="2:37" s="16" customFormat="1" ht="12.75" x14ac:dyDescent="0.2">
      <c r="B21" s="29">
        <f t="shared" si="1"/>
        <v>44814</v>
      </c>
      <c r="C21" s="30">
        <f>+$AG$1+9</f>
        <v>44814</v>
      </c>
      <c r="D21" s="88"/>
      <c r="E21" s="93"/>
      <c r="AK21" s="91" t="str">
        <f t="shared" si="0"/>
        <v/>
      </c>
    </row>
    <row r="22" spans="2:37" s="16" customFormat="1" ht="12.75" x14ac:dyDescent="0.2">
      <c r="B22" s="29">
        <f t="shared" si="1"/>
        <v>44815</v>
      </c>
      <c r="C22" s="30">
        <f>+$AG$1+10</f>
        <v>44815</v>
      </c>
      <c r="D22" s="88"/>
      <c r="E22" s="93"/>
      <c r="G22" s="79"/>
      <c r="H22" s="79"/>
      <c r="I22" s="79"/>
      <c r="J22" s="80"/>
      <c r="K22" s="80"/>
      <c r="L22" s="80"/>
      <c r="M22" s="80"/>
      <c r="AK22" s="91" t="str">
        <f t="shared" si="0"/>
        <v/>
      </c>
    </row>
    <row r="23" spans="2:37" s="16" customFormat="1" ht="12.75" x14ac:dyDescent="0.2">
      <c r="B23" s="29">
        <f t="shared" si="1"/>
        <v>44816</v>
      </c>
      <c r="C23" s="30">
        <f>+$AG$1+11</f>
        <v>44816</v>
      </c>
      <c r="D23" s="88"/>
      <c r="E23" s="93"/>
      <c r="G23" s="49" t="s">
        <v>30</v>
      </c>
      <c r="AK23" s="91" t="str">
        <f t="shared" si="0"/>
        <v/>
      </c>
    </row>
    <row r="24" spans="2:37" s="16" customFormat="1" ht="12.75" x14ac:dyDescent="0.2">
      <c r="B24" s="29">
        <f t="shared" si="1"/>
        <v>44817</v>
      </c>
      <c r="C24" s="30">
        <f>+$AG$1+12</f>
        <v>44817</v>
      </c>
      <c r="D24" s="88"/>
      <c r="E24" s="93"/>
      <c r="G24" s="50" t="s">
        <v>31</v>
      </c>
      <c r="AK24" s="91" t="str">
        <f t="shared" si="0"/>
        <v/>
      </c>
    </row>
    <row r="25" spans="2:37" s="16" customFormat="1" ht="12.75" x14ac:dyDescent="0.2">
      <c r="B25" s="29">
        <f t="shared" si="1"/>
        <v>44818</v>
      </c>
      <c r="C25" s="30">
        <f>+$AG$1+13</f>
        <v>44818</v>
      </c>
      <c r="D25" s="88"/>
      <c r="E25" s="93"/>
      <c r="AK25" s="91" t="str">
        <f t="shared" si="0"/>
        <v/>
      </c>
    </row>
    <row r="26" spans="2:37" s="16" customFormat="1" ht="12.75" x14ac:dyDescent="0.2">
      <c r="B26" s="29">
        <f t="shared" si="1"/>
        <v>44819</v>
      </c>
      <c r="C26" s="30">
        <f>+$AG$1+14</f>
        <v>44819</v>
      </c>
      <c r="D26" s="88"/>
      <c r="E26" s="93"/>
      <c r="G26" s="139" t="s">
        <v>32</v>
      </c>
      <c r="H26" s="139"/>
      <c r="I26" s="139"/>
      <c r="J26" s="65">
        <v>0</v>
      </c>
      <c r="AK26" s="91" t="str">
        <f t="shared" si="0"/>
        <v/>
      </c>
    </row>
    <row r="27" spans="2:37" s="16" customFormat="1" ht="12.75" x14ac:dyDescent="0.2">
      <c r="B27" s="29">
        <f t="shared" si="1"/>
        <v>44820</v>
      </c>
      <c r="C27" s="30">
        <f>+$AG$1+15</f>
        <v>44820</v>
      </c>
      <c r="D27" s="88"/>
      <c r="E27" s="93"/>
      <c r="AK27" s="91" t="str">
        <f t="shared" si="0"/>
        <v/>
      </c>
    </row>
    <row r="28" spans="2:37" s="16" customFormat="1" ht="12.75" x14ac:dyDescent="0.2">
      <c r="B28" s="29">
        <f t="shared" si="1"/>
        <v>44821</v>
      </c>
      <c r="C28" s="30">
        <f>+$AG$1+16</f>
        <v>44821</v>
      </c>
      <c r="D28" s="88"/>
      <c r="E28" s="93"/>
      <c r="K28" s="51" t="s">
        <v>25</v>
      </c>
      <c r="L28" s="51" t="s">
        <v>26</v>
      </c>
      <c r="M28" s="51" t="s">
        <v>27</v>
      </c>
      <c r="N28" s="51" t="s">
        <v>34</v>
      </c>
      <c r="AK28" s="91" t="str">
        <f t="shared" si="0"/>
        <v/>
      </c>
    </row>
    <row r="29" spans="2:37" s="16" customFormat="1" ht="12.75" x14ac:dyDescent="0.2">
      <c r="B29" s="29">
        <f t="shared" si="1"/>
        <v>44822</v>
      </c>
      <c r="C29" s="30">
        <f>+$AG$1+17</f>
        <v>44822</v>
      </c>
      <c r="D29" s="88"/>
      <c r="E29" s="93"/>
      <c r="G29" s="134" t="s">
        <v>33</v>
      </c>
      <c r="H29" s="134"/>
      <c r="I29" s="134"/>
      <c r="J29" s="134"/>
      <c r="K29" s="52">
        <f>+COUNT(AK12:AK42)</f>
        <v>0</v>
      </c>
      <c r="L29" s="53">
        <f>+J26</f>
        <v>0</v>
      </c>
      <c r="M29" s="54">
        <f>+L29*K29</f>
        <v>0</v>
      </c>
      <c r="N29" s="52">
        <f>+K29</f>
        <v>0</v>
      </c>
      <c r="AK29" s="91" t="str">
        <f t="shared" si="0"/>
        <v/>
      </c>
    </row>
    <row r="30" spans="2:37" s="16" customFormat="1" ht="12.75" x14ac:dyDescent="0.2">
      <c r="B30" s="29">
        <f t="shared" si="1"/>
        <v>44823</v>
      </c>
      <c r="C30" s="30">
        <f>+$AG$1+18</f>
        <v>44823</v>
      </c>
      <c r="D30" s="88"/>
      <c r="E30" s="93"/>
      <c r="AK30" s="91" t="str">
        <f t="shared" si="0"/>
        <v/>
      </c>
    </row>
    <row r="31" spans="2:37" s="16" customFormat="1" ht="12.75" x14ac:dyDescent="0.2">
      <c r="B31" s="29">
        <f t="shared" si="1"/>
        <v>44824</v>
      </c>
      <c r="C31" s="30">
        <f>+$AG$1+19</f>
        <v>44824</v>
      </c>
      <c r="D31" s="88"/>
      <c r="E31" s="93"/>
      <c r="L31" s="55" t="s">
        <v>29</v>
      </c>
      <c r="M31" s="56">
        <f>+M29</f>
        <v>0</v>
      </c>
      <c r="AK31" s="91" t="str">
        <f t="shared" si="0"/>
        <v/>
      </c>
    </row>
    <row r="32" spans="2:37" s="16" customFormat="1" ht="12.75" x14ac:dyDescent="0.2">
      <c r="B32" s="29">
        <f t="shared" si="1"/>
        <v>44825</v>
      </c>
      <c r="C32" s="30">
        <f>+$AG$1+20</f>
        <v>44825</v>
      </c>
      <c r="D32" s="88"/>
      <c r="E32" s="93"/>
      <c r="AK32" s="91" t="str">
        <f t="shared" si="0"/>
        <v/>
      </c>
    </row>
    <row r="33" spans="2:37" s="16" customFormat="1" ht="12.75" x14ac:dyDescent="0.2">
      <c r="B33" s="29">
        <f t="shared" si="1"/>
        <v>44826</v>
      </c>
      <c r="C33" s="30">
        <f>+$AG$1+21</f>
        <v>44826</v>
      </c>
      <c r="D33" s="88"/>
      <c r="E33" s="93"/>
      <c r="AK33" s="91" t="str">
        <f t="shared" si="0"/>
        <v/>
      </c>
    </row>
    <row r="34" spans="2:37" s="16" customFormat="1" ht="12.75" x14ac:dyDescent="0.2">
      <c r="B34" s="29">
        <f t="shared" si="1"/>
        <v>44827</v>
      </c>
      <c r="C34" s="30">
        <f>+$AG$1+22</f>
        <v>44827</v>
      </c>
      <c r="D34" s="88"/>
      <c r="E34" s="93"/>
      <c r="AK34" s="91" t="str">
        <f t="shared" si="0"/>
        <v/>
      </c>
    </row>
    <row r="35" spans="2:37" s="16" customFormat="1" ht="12.75" x14ac:dyDescent="0.2">
      <c r="B35" s="29">
        <f t="shared" si="1"/>
        <v>44828</v>
      </c>
      <c r="C35" s="30">
        <f>+$AG$1+23</f>
        <v>44828</v>
      </c>
      <c r="D35" s="88"/>
      <c r="E35" s="93"/>
      <c r="AK35" s="91" t="str">
        <f t="shared" si="0"/>
        <v/>
      </c>
    </row>
    <row r="36" spans="2:37" s="16" customFormat="1" ht="12.75" x14ac:dyDescent="0.2">
      <c r="B36" s="29">
        <f t="shared" si="1"/>
        <v>44829</v>
      </c>
      <c r="C36" s="30">
        <f>+$AG$1+24</f>
        <v>44829</v>
      </c>
      <c r="D36" s="88"/>
      <c r="E36" s="93"/>
      <c r="AK36" s="91" t="str">
        <f t="shared" si="0"/>
        <v/>
      </c>
    </row>
    <row r="37" spans="2:37" s="16" customFormat="1" ht="12.75" x14ac:dyDescent="0.2">
      <c r="B37" s="29">
        <f t="shared" si="1"/>
        <v>44830</v>
      </c>
      <c r="C37" s="30">
        <f>+$AG$1+25</f>
        <v>44830</v>
      </c>
      <c r="D37" s="88"/>
      <c r="E37" s="93"/>
      <c r="AK37" s="91" t="str">
        <f t="shared" si="0"/>
        <v/>
      </c>
    </row>
    <row r="38" spans="2:37" s="16" customFormat="1" ht="12.75" x14ac:dyDescent="0.2">
      <c r="B38" s="29">
        <f t="shared" si="1"/>
        <v>44831</v>
      </c>
      <c r="C38" s="30">
        <f>+$AG$1+26</f>
        <v>44831</v>
      </c>
      <c r="D38" s="88"/>
      <c r="E38" s="93"/>
      <c r="AK38" s="91" t="str">
        <f t="shared" si="0"/>
        <v/>
      </c>
    </row>
    <row r="39" spans="2:37" s="16" customFormat="1" ht="12.75" x14ac:dyDescent="0.2">
      <c r="B39" s="29">
        <f t="shared" si="1"/>
        <v>44832</v>
      </c>
      <c r="C39" s="30">
        <f>IF(C$12+27&lt;DATE(YEAR(G$6),MONTH(G$6),DAY(G$6)),C$12+27,"")</f>
        <v>44832</v>
      </c>
      <c r="D39" s="88"/>
      <c r="E39" s="93"/>
      <c r="AK39" s="91" t="str">
        <f t="shared" si="0"/>
        <v/>
      </c>
    </row>
    <row r="40" spans="2:37" s="16" customFormat="1" ht="12.75" x14ac:dyDescent="0.2">
      <c r="B40" s="29">
        <f t="shared" si="1"/>
        <v>44833</v>
      </c>
      <c r="C40" s="30">
        <f>IF(C$12+28&lt;DATE(YEAR(G$6),MONTH(G$6),DAY(G$6)),C$12+28,"")</f>
        <v>44833</v>
      </c>
      <c r="D40" s="88"/>
      <c r="E40" s="93"/>
      <c r="AK40" s="91" t="str">
        <f t="shared" si="0"/>
        <v/>
      </c>
    </row>
    <row r="41" spans="2:37" s="16" customFormat="1" ht="12.75" x14ac:dyDescent="0.2">
      <c r="B41" s="29">
        <f t="shared" si="1"/>
        <v>44834</v>
      </c>
      <c r="C41" s="30">
        <f>IF(C$12+29&lt;DATE(YEAR(G$6),MONTH(G$6),DAY(G$6)),C$12+29,"")</f>
        <v>44834</v>
      </c>
      <c r="D41" s="88"/>
      <c r="E41" s="93"/>
      <c r="AK41" s="91" t="str">
        <f t="shared" si="0"/>
        <v/>
      </c>
    </row>
    <row r="42" spans="2:37" s="16" customFormat="1" ht="13.5" thickBot="1" x14ac:dyDescent="0.25">
      <c r="B42" s="57" t="str">
        <f t="shared" si="1"/>
        <v/>
      </c>
      <c r="C42" s="58" t="str">
        <f>IF(C$12+30&lt;DATE(YEAR(G$6),MONTH(G$6),DAY(G$6)),C$12+30,"")</f>
        <v/>
      </c>
      <c r="D42" s="89"/>
      <c r="E42" s="96"/>
      <c r="AK42" s="92" t="str">
        <f t="shared" si="0"/>
        <v/>
      </c>
    </row>
    <row r="43" spans="2:37" s="16" customFormat="1" ht="13.5" thickBot="1" x14ac:dyDescent="0.25">
      <c r="D43" s="59"/>
      <c r="AK43" s="59"/>
    </row>
    <row r="44" spans="2:37" s="16" customFormat="1" ht="13.5" thickBot="1" x14ac:dyDescent="0.25">
      <c r="B44" s="60"/>
      <c r="C44" s="61" t="s">
        <v>0</v>
      </c>
      <c r="D44" s="62">
        <f>SUM(D12:D42)</f>
        <v>0</v>
      </c>
      <c r="E44" s="94">
        <f>SUM(E12:E42)</f>
        <v>0</v>
      </c>
      <c r="F44" s="63"/>
      <c r="AK44" s="62">
        <f>SUM(AK12:AK42)</f>
        <v>0</v>
      </c>
    </row>
    <row r="45" spans="2:37" s="16" customFormat="1" ht="12.75" x14ac:dyDescent="0.2"/>
    <row r="46" spans="2:37" s="16" customFormat="1" ht="12.75" x14ac:dyDescent="0.2"/>
    <row r="47" spans="2:37" s="16" customFormat="1" ht="12.75" x14ac:dyDescent="0.2"/>
    <row r="48" spans="2:37" s="16" customFormat="1" ht="12.75" x14ac:dyDescent="0.2"/>
    <row r="49" s="16" customFormat="1" ht="12.75" x14ac:dyDescent="0.2"/>
    <row r="50" s="16" customFormat="1" ht="12.75" x14ac:dyDescent="0.2"/>
  </sheetData>
  <sheetProtection algorithmName="SHA-512" hashValue="f60Rg8aMmUQrYA7HE9rV+u7hgT87WACbbZqJRf/Lc+ODPD/T0ENjwhmSMxCB6VXHN7V55NvM4PWCgiwkoU3z8A==" saltValue="NC8A4X2qxfetbe+up3D6+w==" spinCount="100000" sheet="1" formatCells="0" formatColumns="0" formatRows="0" insertColumns="0" insertRows="0" sort="0" autoFilter="0" pivotTables="0"/>
  <mergeCells count="7">
    <mergeCell ref="G29:J29"/>
    <mergeCell ref="B1:H1"/>
    <mergeCell ref="G16:J16"/>
    <mergeCell ref="G17:J17"/>
    <mergeCell ref="G26:I26"/>
    <mergeCell ref="A10:C10"/>
    <mergeCell ref="A8:C8"/>
  </mergeCells>
  <phoneticPr fontId="7" type="noConversion"/>
  <conditionalFormatting sqref="D10">
    <cfRule type="expression" dxfId="3" priority="4">
      <formula>$D$8=$AI$1</formula>
    </cfRule>
  </conditionalFormatting>
  <conditionalFormatting sqref="D12:D42">
    <cfRule type="expression" dxfId="2" priority="2">
      <formula>$D$8=$AI$1</formula>
    </cfRule>
  </conditionalFormatting>
  <conditionalFormatting sqref="E10">
    <cfRule type="expression" dxfId="1" priority="3">
      <formula>$D$8=$AI$2</formula>
    </cfRule>
  </conditionalFormatting>
  <conditionalFormatting sqref="E12:E42">
    <cfRule type="expression" dxfId="0" priority="1">
      <formula>$D$8=$AI$2</formula>
    </cfRule>
  </conditionalFormatting>
  <dataValidations count="3">
    <dataValidation type="list" allowBlank="1" showInputMessage="1" showErrorMessage="1" sqref="D8" xr:uid="{07287876-FB7E-4780-B768-F11685257AD4}">
      <formula1>$AI$1:$AI$2</formula1>
    </dataValidation>
    <dataValidation type="list" allowBlank="1" showInputMessage="1" showErrorMessage="1" sqref="D5" xr:uid="{B2B14FBA-DF59-4120-9E8B-256DB128098F}">
      <formula1>$AA$1:$AA$12</formula1>
    </dataValidation>
    <dataValidation type="list" allowBlank="1" showInputMessage="1" showErrorMessage="1" sqref="E5" xr:uid="{A83DD21A-56EC-4F4D-B53D-5F292F3667B1}">
      <formula1>$AD$1:$AD$11</formula1>
    </dataValidation>
  </dataValidations>
  <pageMargins left="0.25" right="0.25" top="0.75" bottom="0.75" header="0.3" footer="0.3"/>
  <pageSetup paperSize="9" scale="79" orientation="landscape" horizontalDpi="1200" verticalDpi="120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Indemnité d'entretiens </vt:lpstr>
      <vt:lpstr>Entretien minimum par jour</vt:lpstr>
      <vt:lpstr>Paramètres</vt:lpstr>
      <vt:lpstr>Indemnité d'entretiens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POUTEAU</dc:creator>
  <cp:lastModifiedBy>David POUTEAU</cp:lastModifiedBy>
  <cp:lastPrinted>2022-10-24T12:20:07Z</cp:lastPrinted>
  <dcterms:created xsi:type="dcterms:W3CDTF">2022-06-10T12:07:31Z</dcterms:created>
  <dcterms:modified xsi:type="dcterms:W3CDTF">2026-01-06T19:40:00Z</dcterms:modified>
</cp:coreProperties>
</file>