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Mon Drive\Clé usb\FoFGTA\Autres outils\"/>
    </mc:Choice>
  </mc:AlternateContent>
  <xr:revisionPtr revIDLastSave="0" documentId="13_ncr:1_{E17EB79A-3D63-4697-8730-111C63496C34}" xr6:coauthVersionLast="47" xr6:coauthVersionMax="47" xr10:uidLastSave="{00000000-0000-0000-0000-000000000000}"/>
  <bookViews>
    <workbookView xWindow="-120" yWindow="-120" windowWidth="24240" windowHeight="13140" tabRatio="695" xr2:uid="{00000000-000D-0000-FFFF-FFFF00000000}"/>
  </bookViews>
  <sheets>
    <sheet name="CP Année Incomplète au 31-05" sheetId="3" r:id="rId1"/>
    <sheet name="Ind Comp. de CP A. Incomplète" sheetId="1" r:id="rId2"/>
    <sheet name="Exemple CP AI au 31-05" sheetId="20" r:id="rId3"/>
    <sheet name="Exemple Ind Comp. de CP AI" sheetId="21" r:id="rId4"/>
  </sheets>
  <definedNames>
    <definedName name="base_ICCP">#REF!</definedName>
    <definedName name="Base_iccp_3105">#REF!</definedName>
    <definedName name="bd">#REF!</definedName>
    <definedName name="Bd_310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3" l="1"/>
  <c r="D49" i="3"/>
  <c r="D50" i="3"/>
  <c r="D51" i="3"/>
  <c r="D52" i="3"/>
  <c r="D53" i="3"/>
  <c r="D54" i="3"/>
  <c r="D55" i="3"/>
  <c r="D56" i="3"/>
  <c r="D57" i="3"/>
  <c r="D58" i="3"/>
  <c r="D47" i="3"/>
  <c r="D50" i="1"/>
  <c r="D51" i="1"/>
  <c r="D52" i="1"/>
  <c r="D53" i="1"/>
  <c r="D54" i="1"/>
  <c r="D55" i="1"/>
  <c r="D56" i="1"/>
  <c r="D57" i="1"/>
  <c r="D58" i="1"/>
  <c r="D59" i="1"/>
  <c r="D60" i="1"/>
  <c r="D49" i="1"/>
  <c r="H50" i="1" l="1"/>
  <c r="H49" i="3"/>
  <c r="H31" i="3"/>
  <c r="H30" i="1"/>
  <c r="H25" i="3"/>
  <c r="H32" i="3"/>
  <c r="H30" i="3"/>
  <c r="H26" i="3"/>
  <c r="B80" i="1"/>
  <c r="B48" i="1"/>
  <c r="E16" i="1"/>
  <c r="E13" i="1"/>
  <c r="E13" i="3"/>
  <c r="C9" i="1"/>
  <c r="C7" i="1"/>
  <c r="B46" i="3"/>
  <c r="E15" i="3"/>
  <c r="C9" i="3"/>
  <c r="C7" i="3"/>
  <c r="H35" i="1"/>
  <c r="H31" i="1"/>
  <c r="J56" i="1"/>
  <c r="D61" i="3"/>
  <c r="F26" i="3"/>
  <c r="D35" i="3" s="1"/>
  <c r="B75" i="1" l="1"/>
  <c r="M9" i="1"/>
  <c r="M6" i="1"/>
  <c r="M4" i="1" l="1"/>
  <c r="L6" i="1" s="1"/>
  <c r="D13" i="1"/>
  <c r="A92" i="1" l="1"/>
  <c r="A90" i="1"/>
  <c r="A88" i="1"/>
  <c r="A91" i="1"/>
  <c r="A89" i="1"/>
  <c r="A60" i="1"/>
  <c r="A58" i="1"/>
  <c r="A56" i="1"/>
  <c r="A59" i="1"/>
  <c r="A57" i="1"/>
  <c r="M7" i="1"/>
  <c r="E77" i="1" s="1"/>
  <c r="A55" i="1"/>
  <c r="A53" i="1"/>
  <c r="A52" i="1"/>
  <c r="A51" i="1"/>
  <c r="A50" i="1"/>
  <c r="A49" i="1"/>
  <c r="B4" i="1"/>
  <c r="H12" i="1" s="1"/>
  <c r="A86" i="1"/>
  <c r="A84" i="1"/>
  <c r="A82" i="1"/>
  <c r="A87" i="1"/>
  <c r="A85" i="1"/>
  <c r="A83" i="1"/>
  <c r="A81" i="1"/>
  <c r="A54" i="1"/>
  <c r="L7" i="1" l="1"/>
  <c r="B74" i="1" s="1"/>
  <c r="H16" i="1" s="1"/>
  <c r="B93" i="1"/>
  <c r="K17" i="1" s="1"/>
  <c r="D61" i="1" l="1"/>
  <c r="I6" i="3" l="1"/>
  <c r="M5" i="3" l="1"/>
  <c r="D13" i="3"/>
  <c r="K8" i="3" l="1"/>
  <c r="A47" i="3" s="1"/>
  <c r="M3" i="3"/>
  <c r="L5" i="3" s="1"/>
  <c r="M8" i="3"/>
  <c r="B4" i="3" l="1"/>
  <c r="H12" i="3" s="1"/>
  <c r="A52" i="3"/>
  <c r="A56" i="3"/>
  <c r="A51" i="3"/>
  <c r="A49" i="3"/>
  <c r="A54" i="3"/>
  <c r="A58" i="3"/>
  <c r="A48" i="3"/>
  <c r="A50" i="3"/>
  <c r="A53" i="3"/>
  <c r="A55" i="3"/>
  <c r="A57" i="3"/>
  <c r="F35" i="3"/>
  <c r="D39" i="3" l="1"/>
  <c r="F39" i="3" s="1"/>
  <c r="H36" i="3" s="1"/>
  <c r="D37" i="3"/>
  <c r="H33" i="3"/>
  <c r="H39" i="3" l="1"/>
  <c r="F32" i="3"/>
  <c r="M13" i="3" s="1"/>
  <c r="D18" i="1"/>
  <c r="M12" i="3"/>
  <c r="D41" i="3"/>
  <c r="H40" i="3" s="1"/>
  <c r="D59" i="3"/>
  <c r="H51" i="3" s="1"/>
  <c r="H37" i="1" l="1"/>
  <c r="H36" i="1"/>
  <c r="J55" i="3"/>
  <c r="F27" i="1"/>
  <c r="D36" i="1" s="1"/>
  <c r="F36" i="1" s="1"/>
  <c r="I55" i="3"/>
  <c r="D63" i="3"/>
  <c r="D38" i="1" l="1"/>
  <c r="D40" i="1"/>
  <c r="F40" i="1" s="1"/>
  <c r="H38" i="1"/>
  <c r="D65" i="3"/>
  <c r="H57" i="3" s="1"/>
  <c r="H44" i="1" l="1"/>
  <c r="H41" i="1"/>
  <c r="D42" i="1"/>
  <c r="H45" i="1" s="1"/>
  <c r="F33" i="1"/>
  <c r="G67" i="3"/>
  <c r="K12" i="3" s="1"/>
  <c r="D15" i="1" l="1"/>
  <c r="F77" i="1" s="1"/>
  <c r="K16" i="1" s="1"/>
  <c r="K18" i="1" s="1"/>
  <c r="D63" i="1" l="1"/>
  <c r="D65" i="1" s="1"/>
  <c r="D67" i="1" s="1"/>
  <c r="H52" i="1" l="1"/>
  <c r="I56" i="1"/>
  <c r="H58" i="1"/>
  <c r="G69" i="1"/>
  <c r="K12" i="1" s="1"/>
  <c r="K14" i="1" s="1"/>
  <c r="K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D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Salaire mensualisé x 12 mois / Nbre de semaines programmées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Ne peut pas dépasser 30 jours.</t>
        </r>
      </text>
    </comment>
    <comment ref="B46" authorId="0" shapeId="0" xr:uid="{00000000-0006-0000-0000-000003000000}">
      <text>
        <r>
          <rPr>
            <sz val="9"/>
            <color indexed="81"/>
            <rFont val="Tahoma"/>
            <family val="2"/>
          </rPr>
          <t>Sans l'indemnité de congés payés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D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Salaire mensualisé x 12 mois / Nbre de semaines programmées
</t>
        </r>
      </text>
    </comment>
    <comment ref="F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Ne peut pas dépasser 30 jours.</t>
        </r>
      </text>
    </comment>
    <comment ref="B48" authorId="0" shapeId="0" xr:uid="{00000000-0006-0000-0100-000003000000}">
      <text>
        <r>
          <rPr>
            <sz val="9"/>
            <color indexed="81"/>
            <rFont val="Tahoma"/>
            <family val="2"/>
          </rPr>
          <t>Sans l'indemnité de congés payés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D15" authorId="0" shapeId="0" xr:uid="{99097C3F-9C53-4DAA-A594-CE36DE91BA4C}">
      <text>
        <r>
          <rPr>
            <b/>
            <sz val="9"/>
            <color indexed="81"/>
            <rFont val="Tahoma"/>
            <family val="2"/>
          </rPr>
          <t>Salaire mensualisé x 12 mois / Nbre de semaines programmées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65C7A9A8-9933-4A3A-8AF2-E9B1185DF6C0}">
      <text>
        <r>
          <rPr>
            <b/>
            <sz val="9"/>
            <color indexed="81"/>
            <rFont val="Tahoma"/>
            <family val="2"/>
          </rPr>
          <t>Ne peut pas dépasser 30 jours.</t>
        </r>
      </text>
    </comment>
    <comment ref="B48" authorId="0" shapeId="0" xr:uid="{35603572-9E5F-4B23-A747-D0B7FE2354EA}">
      <text>
        <r>
          <rPr>
            <sz val="9"/>
            <color indexed="81"/>
            <rFont val="Tahoma"/>
            <family val="2"/>
          </rPr>
          <t>Sans l'indemnité de congés payés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D15" authorId="0" shapeId="0" xr:uid="{B4C2437A-DDDA-4A21-A91D-3FB7A726E426}">
      <text>
        <r>
          <rPr>
            <b/>
            <sz val="9"/>
            <color indexed="81"/>
            <rFont val="Tahoma"/>
            <family val="2"/>
          </rPr>
          <t xml:space="preserve">Salaire mensualisé x 12 mois / Nbre de semaines programmées
</t>
        </r>
      </text>
    </comment>
    <comment ref="F42" authorId="0" shapeId="0" xr:uid="{3E286505-9073-460C-A934-5CBD12B98836}">
      <text>
        <r>
          <rPr>
            <b/>
            <sz val="9"/>
            <color indexed="81"/>
            <rFont val="Tahoma"/>
            <family val="2"/>
          </rPr>
          <t>Ne peut pas dépasser 30 jours.</t>
        </r>
      </text>
    </comment>
    <comment ref="B50" authorId="0" shapeId="0" xr:uid="{00D7E4C1-2E7E-4B14-948E-71FEF125B192}">
      <text>
        <r>
          <rPr>
            <sz val="9"/>
            <color indexed="81"/>
            <rFont val="Tahoma"/>
            <family val="2"/>
          </rPr>
          <t>Sans l'indemnité de congés payés</t>
        </r>
      </text>
    </comment>
  </commentList>
</comments>
</file>

<file path=xl/sharedStrings.xml><?xml version="1.0" encoding="utf-8"?>
<sst xmlns="http://schemas.openxmlformats.org/spreadsheetml/2006/main" count="269" uniqueCount="98">
  <si>
    <t>Date début contrat :</t>
  </si>
  <si>
    <t>Période référence :</t>
  </si>
  <si>
    <t>Début</t>
  </si>
  <si>
    <t>Fin</t>
  </si>
  <si>
    <t>Date Fin année référence :</t>
  </si>
  <si>
    <t>Référence 1 :</t>
  </si>
  <si>
    <t>Période de référence  :</t>
  </si>
  <si>
    <t>Enfant :</t>
  </si>
  <si>
    <t>Explication :</t>
  </si>
  <si>
    <t>Jours suppl enfant de -15 ans :</t>
  </si>
  <si>
    <t>Pris en cpte :</t>
  </si>
  <si>
    <t>Nombre de jours ouvrables acquis :</t>
  </si>
  <si>
    <t>arrondi à</t>
  </si>
  <si>
    <t>Règle du 10è :</t>
  </si>
  <si>
    <t xml:space="preserve">Salaire perçu l'année de référence : </t>
  </si>
  <si>
    <t>10% des salaires</t>
  </si>
  <si>
    <t>Pour chaque ligne, on fait le calcul suivant :</t>
  </si>
  <si>
    <t>Total :</t>
  </si>
  <si>
    <t>Salaire mensualisé brut :</t>
  </si>
  <si>
    <t>Nombre de semaines programmées :</t>
  </si>
  <si>
    <t>Salaire hebdomadaire moyen :</t>
  </si>
  <si>
    <t xml:space="preserve">En maintien de salaire : </t>
  </si>
  <si>
    <t xml:space="preserve">Ensuite on fait : </t>
  </si>
  <si>
    <t>Montant en maintien de salaire :</t>
  </si>
  <si>
    <t>Salaires bruts</t>
  </si>
  <si>
    <t>Montant avec la règle du 10è :</t>
  </si>
  <si>
    <t>On prend la méthode la plus favorable soit une indemnité de CP due de :</t>
  </si>
  <si>
    <t>Outils de calcul des congés payés en Année Incomplète</t>
  </si>
  <si>
    <t>Récapitulatif du montant de l'indemnité de congés payés en Année Incomplète :</t>
  </si>
  <si>
    <t>Jrs acquis :</t>
  </si>
  <si>
    <t>dont enf. -15 ans :</t>
  </si>
  <si>
    <t>Nombre de semaines travaillées (l'année de référence) :</t>
  </si>
  <si>
    <r>
      <t xml:space="preserve">à ajouter uniquement  </t>
    </r>
    <r>
      <rPr>
        <b/>
        <sz val="10"/>
        <color theme="1"/>
        <rFont val="Arial"/>
        <family val="2"/>
      </rPr>
      <t>au 31mai</t>
    </r>
  </si>
  <si>
    <t>Nombre de période :</t>
  </si>
  <si>
    <t>Jours ouvrables hors enfants - 15 ans :</t>
  </si>
  <si>
    <t>Le montant correspondant aux enfants de moins de 15 ans est de :</t>
  </si>
  <si>
    <t>Total des 10% / nombre jrs ouvrables calculés hors enfants -15 ans X nbre jours pour enfants -15 ans</t>
  </si>
  <si>
    <t>Valorisation des jrs enfant -15 ans :</t>
  </si>
  <si>
    <t>Date du jour :</t>
  </si>
  <si>
    <t>Outils de calcul de l'indemnité compensatrice des congés payés en Année Incomplète</t>
  </si>
  <si>
    <t>Date fin contrat :</t>
  </si>
  <si>
    <t>Ind Comp de l'année :</t>
  </si>
  <si>
    <t>Montant des paiements reçus</t>
  </si>
  <si>
    <t>Ind Comp de l'année précédente :</t>
  </si>
  <si>
    <t>Soit une ind. comp. de CP total de :</t>
  </si>
  <si>
    <t>Jours suppl enfant de -15 ans acquis :</t>
  </si>
  <si>
    <t>Jours suppl Jours fractionnement non pris :</t>
  </si>
  <si>
    <t>Valorisation jours enfants - 15 ans et jrs fractionnement :</t>
  </si>
  <si>
    <t>Alex</t>
  </si>
  <si>
    <t>Montant de l'indemnité de CP au 31/05 de l'année précédente</t>
  </si>
  <si>
    <t>Nombre de jours ouvrables acquis au 31/05 de l'année précédente</t>
  </si>
  <si>
    <t>Nbre de semaines travaillées (l'année de référence) + Semaines CP acquis :</t>
  </si>
  <si>
    <t>Nbre de semaines travaillées (l'année de référence) :</t>
  </si>
  <si>
    <t>10% de l'indemnité de CP de l'année précédente :</t>
  </si>
  <si>
    <t>Exemple pour Février :</t>
  </si>
  <si>
    <t>On calcule le nombre de périodes de 4 semaines travaillées et pour chaque période, elle acquiert</t>
  </si>
  <si>
    <t>Faire les calculs en brut ou en net :</t>
  </si>
  <si>
    <t>BRUT</t>
  </si>
  <si>
    <t>Faites votre choix :</t>
  </si>
  <si>
    <t>2,5 jours ouvrables.</t>
  </si>
  <si>
    <t>Taux horaire brut :</t>
  </si>
  <si>
    <t>en brut</t>
  </si>
  <si>
    <t>L'AM a travaillé 42 semaines sur la période de référence (1er juin au 31 mai)</t>
  </si>
  <si>
    <t>On calcule donc un nombre de période avant la prise en compte des cp acquis soit 42 / 4 = 10,5 période(s)</t>
  </si>
  <si>
    <t>Les semaines de cp acquis l'année précédente sont 23 jrs ouvrables / 6 jours par semaine = 3,83 semaine(s)</t>
  </si>
  <si>
    <t>Si on prend en compte les semaines de cp acquis (soit 3,83 semaines, soit 0,96 période(s)) pour le calcul du nombre total de période on obtient :</t>
  </si>
  <si>
    <t>10,5 période(s) + 0,9583 période(s) = 11,4575 arrondi à 11,46 période(s)</t>
  </si>
  <si>
    <t>[Salaire hebdomadaire moyen (160 €) / 6 jours] x [ nombre de jours ouvrables de CP (30 jour(s)]</t>
  </si>
  <si>
    <t>soit un maintien de salaire de 800 euros</t>
  </si>
  <si>
    <t>Soit pour la ligne du mois de Février 56 euros</t>
  </si>
  <si>
    <t>10% sur les salaires de l'année de référence (672 euros)+ 10% de l'indemnité de CP de l'année précédente (46 euros) = 718 euros</t>
  </si>
  <si>
    <t>718 / 29 X 1</t>
  </si>
  <si>
    <t>= 24,76</t>
  </si>
  <si>
    <t>Soit  un montant total de 718 euros + 24,76 euros = 742,76 euros</t>
  </si>
  <si>
    <t>L'AM a travaillé 9 semaines sur la période de référence (1er juin au 31 mai)</t>
  </si>
  <si>
    <t>On calcule donc un nombre de période avant la prise en compte des cp acquis soit 9 / 4 = 2,25 période(s)</t>
  </si>
  <si>
    <t>Les semaines de cp acquis l'année précédente sont 30 jrs ouvrables / 6 jours par semaine = 5 semaine(s)</t>
  </si>
  <si>
    <t>Si on prend en compte les semaines de cp acquis (soit 5 semaines, soit 1,25 période(s)) pour le calcul du nombre total de période on obtient :</t>
  </si>
  <si>
    <t>2,25 période(s) + 1,25 période(s) = 3,5 arrondi à 3,5 période(s)</t>
  </si>
  <si>
    <t>soit un maintien de salaire de 240 euros</t>
  </si>
  <si>
    <t>Soit pour la ligne du mois de Février 0 euros</t>
  </si>
  <si>
    <t>10% sur les salaires de l'année de référence (112 euros)+ 10% de l'indemnité de CP de l'année précédente (80 euros) = 192 euros</t>
  </si>
  <si>
    <t>192 / 9 X 0</t>
  </si>
  <si>
    <t>= 0</t>
  </si>
  <si>
    <t>Soit  un montant total de 192 euros + 0 euros = 192 euros</t>
  </si>
  <si>
    <t>Paiements reçus en brut</t>
  </si>
  <si>
    <t xml:space="preserve">Nombre de jours de congés acquis sur arrêt de maladie : </t>
  </si>
  <si>
    <t>On ajoute aussi les jours ouvrables acquis pour enfant de moins de 15 ans + jours acquis (arrêt maladie)</t>
  </si>
  <si>
    <t>Salaire en arrêt de maladie (80%)</t>
  </si>
  <si>
    <t>Du 01/06/2023 au 31/05/2024</t>
  </si>
  <si>
    <t>11,46 période(s) x 2,5 jours + 2 jour(s) enfant(s) de moins de 15 ans +  jour(s) = 30 jour(s) ouvrable(s) maximum</t>
  </si>
  <si>
    <t>Exemple 1 au 31/05/2024 : Calcul indemnité des congés payés en Année Incomplète</t>
  </si>
  <si>
    <t>Du 01/06/2024 au 31/07/2024</t>
  </si>
  <si>
    <t>Montant l'indemnité de CP au 31/05/2024 :</t>
  </si>
  <si>
    <t>3,5 période(s) x 2,5 jours +  jour(s) enfant(s) de moins de 15 ans +  jours = 9 jour(s) ouvrable(s) maximum</t>
  </si>
  <si>
    <t>[Salaire hebdomadaire moyen (160 €) / 6 jours] x [ nombre de jours ouvrables de CP (9 jour(s)) + nombre de jours de fractionnement (  jour(s))]</t>
  </si>
  <si>
    <t>Exemple 1 au 31/07/2024 : Calcul indemnité compensatrice des congés payés en Année Incomplète</t>
  </si>
  <si>
    <t>Syndicat national FO des emplois de la famille       www.emploisdelafamille-fo.fr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</si>
</sst>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mmmm\ yyyy"/>
    <numFmt numFmtId="166" formatCode="0.0000"/>
    <numFmt numFmtId="167" formatCode="#,##0_ ;\-#,##0\ "/>
    <numFmt numFmtId="173" formatCode="#,##0.00\ &quot;€&quot;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10"/>
      <color theme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color rgb="FFEE2224"/>
      <name val="Arial"/>
      <family val="2"/>
    </font>
    <font>
      <sz val="18"/>
      <color rgb="FF7030A0"/>
      <name val="Arial"/>
      <family val="2"/>
    </font>
    <font>
      <b/>
      <sz val="12"/>
      <name val="Arial"/>
      <family val="2"/>
    </font>
    <font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" fillId="0" borderId="0"/>
  </cellStyleXfs>
  <cellXfs count="190">
    <xf numFmtId="0" fontId="0" fillId="0" borderId="0" xfId="0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14" fontId="8" fillId="0" borderId="0" xfId="0" applyNumberFormat="1" applyFont="1" applyProtection="1">
      <protection hidden="1"/>
    </xf>
    <xf numFmtId="0" fontId="10" fillId="0" borderId="1" xfId="0" applyFont="1" applyBorder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64" fontId="10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Protection="1">
      <protection hidden="1"/>
    </xf>
    <xf numFmtId="44" fontId="11" fillId="0" borderId="0" xfId="1" applyFont="1" applyFill="1" applyBorder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44" fontId="10" fillId="0" borderId="0" xfId="0" applyNumberFormat="1" applyFont="1" applyProtection="1">
      <protection hidden="1"/>
    </xf>
    <xf numFmtId="44" fontId="11" fillId="0" borderId="0" xfId="0" applyNumberFormat="1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7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14" fontId="4" fillId="0" borderId="0" xfId="0" applyNumberFormat="1" applyFont="1" applyProtection="1">
      <protection hidden="1"/>
    </xf>
    <xf numFmtId="44" fontId="4" fillId="0" borderId="0" xfId="1" applyFont="1" applyFill="1" applyBorder="1" applyProtection="1"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2" fontId="4" fillId="0" borderId="0" xfId="0" applyNumberFormat="1" applyFont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167" fontId="4" fillId="0" borderId="0" xfId="1" applyNumberFormat="1" applyFont="1" applyFill="1" applyBorder="1" applyProtection="1">
      <protection hidden="1"/>
    </xf>
    <xf numFmtId="1" fontId="4" fillId="0" borderId="5" xfId="0" applyNumberFormat="1" applyFont="1" applyBorder="1" applyAlignment="1" applyProtection="1">
      <alignment horizontal="center"/>
      <protection hidden="1"/>
    </xf>
    <xf numFmtId="44" fontId="4" fillId="0" borderId="9" xfId="1" applyFont="1" applyFill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7" xfId="0" applyFont="1" applyBorder="1" applyAlignment="1" applyProtection="1">
      <alignment horizontal="right"/>
      <protection hidden="1"/>
    </xf>
    <xf numFmtId="164" fontId="4" fillId="0" borderId="7" xfId="0" applyNumberFormat="1" applyFont="1" applyBorder="1" applyProtection="1">
      <protection hidden="1"/>
    </xf>
    <xf numFmtId="0" fontId="4" fillId="0" borderId="8" xfId="0" applyFont="1" applyBorder="1" applyProtection="1">
      <protection hidden="1"/>
    </xf>
    <xf numFmtId="1" fontId="4" fillId="0" borderId="0" xfId="0" applyNumberFormat="1" applyFont="1" applyProtection="1">
      <protection hidden="1"/>
    </xf>
    <xf numFmtId="166" fontId="4" fillId="0" borderId="9" xfId="0" applyNumberFormat="1" applyFont="1" applyBorder="1" applyProtection="1">
      <protection hidden="1"/>
    </xf>
    <xf numFmtId="0" fontId="4" fillId="0" borderId="10" xfId="0" applyFont="1" applyBorder="1" applyAlignment="1" applyProtection="1">
      <alignment horizontal="center"/>
      <protection hidden="1"/>
    </xf>
    <xf numFmtId="2" fontId="4" fillId="0" borderId="11" xfId="0" applyNumberFormat="1" applyFont="1" applyBorder="1" applyAlignment="1" applyProtection="1">
      <alignment horizontal="left"/>
      <protection hidden="1"/>
    </xf>
    <xf numFmtId="2" fontId="4" fillId="0" borderId="9" xfId="0" applyNumberFormat="1" applyFont="1" applyBorder="1" applyProtection="1">
      <protection hidden="1"/>
    </xf>
    <xf numFmtId="0" fontId="4" fillId="0" borderId="11" xfId="0" applyFont="1" applyBorder="1" applyAlignment="1" applyProtection="1">
      <alignment horizontal="left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165" fontId="4" fillId="0" borderId="9" xfId="0" applyNumberFormat="1" applyFont="1" applyBorder="1" applyAlignment="1" applyProtection="1">
      <alignment horizontal="right"/>
      <protection hidden="1"/>
    </xf>
    <xf numFmtId="44" fontId="4" fillId="0" borderId="9" xfId="1" applyFont="1" applyBorder="1" applyProtection="1">
      <protection hidden="1"/>
    </xf>
    <xf numFmtId="2" fontId="4" fillId="0" borderId="0" xfId="1" applyNumberFormat="1" applyFont="1" applyFill="1" applyBorder="1" applyProtection="1">
      <protection hidden="1"/>
    </xf>
    <xf numFmtId="44" fontId="4" fillId="0" borderId="0" xfId="0" applyNumberFormat="1" applyFont="1" applyProtection="1">
      <protection hidden="1"/>
    </xf>
    <xf numFmtId="44" fontId="4" fillId="0" borderId="9" xfId="0" applyNumberFormat="1" applyFont="1" applyBorder="1" applyProtection="1">
      <protection hidden="1"/>
    </xf>
    <xf numFmtId="44" fontId="4" fillId="0" borderId="0" xfId="1" applyFont="1" applyBorder="1" applyProtection="1">
      <protection hidden="1"/>
    </xf>
    <xf numFmtId="2" fontId="4" fillId="0" borderId="19" xfId="0" applyNumberFormat="1" applyFont="1" applyBorder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0" xfId="0" applyFont="1" applyProtection="1">
      <protection locked="0" hidden="1"/>
    </xf>
    <xf numFmtId="0" fontId="7" fillId="0" borderId="0" xfId="0" applyFont="1" applyProtection="1">
      <protection hidden="1"/>
    </xf>
    <xf numFmtId="173" fontId="4" fillId="0" borderId="0" xfId="0" applyNumberFormat="1" applyFont="1" applyProtection="1">
      <protection hidden="1"/>
    </xf>
    <xf numFmtId="173" fontId="4" fillId="0" borderId="14" xfId="0" applyNumberFormat="1" applyFont="1" applyBorder="1" applyProtection="1">
      <protection hidden="1"/>
    </xf>
    <xf numFmtId="173" fontId="10" fillId="0" borderId="0" xfId="0" applyNumberFormat="1" applyFont="1" applyProtection="1">
      <protection hidden="1"/>
    </xf>
    <xf numFmtId="173" fontId="4" fillId="0" borderId="7" xfId="0" applyNumberFormat="1" applyFont="1" applyBorder="1" applyProtection="1">
      <protection hidden="1"/>
    </xf>
    <xf numFmtId="173" fontId="11" fillId="0" borderId="9" xfId="1" applyNumberFormat="1" applyFont="1" applyFill="1" applyBorder="1" applyProtection="1">
      <protection hidden="1"/>
    </xf>
    <xf numFmtId="173" fontId="11" fillId="0" borderId="20" xfId="1" applyNumberFormat="1" applyFont="1" applyFill="1" applyBorder="1" applyAlignment="1" applyProtection="1">
      <alignment horizontal="right"/>
      <protection hidden="1"/>
    </xf>
    <xf numFmtId="173" fontId="4" fillId="0" borderId="9" xfId="0" applyNumberFormat="1" applyFont="1" applyBorder="1" applyProtection="1">
      <protection hidden="1"/>
    </xf>
    <xf numFmtId="0" fontId="4" fillId="0" borderId="18" xfId="0" applyFont="1" applyBorder="1" applyAlignment="1" applyProtection="1">
      <alignment horizontal="right"/>
      <protection hidden="1"/>
    </xf>
    <xf numFmtId="0" fontId="4" fillId="0" borderId="14" xfId="0" applyFont="1" applyBorder="1" applyAlignment="1" applyProtection="1">
      <alignment horizontal="right"/>
      <protection hidden="1"/>
    </xf>
    <xf numFmtId="0" fontId="4" fillId="0" borderId="21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165" fontId="4" fillId="0" borderId="0" xfId="0" applyNumberFormat="1" applyFont="1" applyAlignment="1" applyProtection="1">
      <alignment horizontal="right"/>
      <protection hidden="1"/>
    </xf>
    <xf numFmtId="44" fontId="4" fillId="0" borderId="0" xfId="0" applyNumberFormat="1" applyFont="1" applyProtection="1">
      <protection locked="0" hidden="1"/>
    </xf>
    <xf numFmtId="173" fontId="11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44" fontId="4" fillId="2" borderId="9" xfId="1" applyFont="1" applyFill="1" applyBorder="1" applyProtection="1">
      <protection locked="0"/>
    </xf>
    <xf numFmtId="44" fontId="4" fillId="0" borderId="0" xfId="1" applyFont="1" applyFill="1" applyBorder="1" applyProtection="1">
      <protection locked="0" hidden="1"/>
    </xf>
    <xf numFmtId="44" fontId="3" fillId="0" borderId="9" xfId="0" applyNumberFormat="1" applyFont="1" applyBorder="1" applyProtection="1">
      <protection hidden="1"/>
    </xf>
    <xf numFmtId="2" fontId="4" fillId="0" borderId="0" xfId="1" applyNumberFormat="1" applyFont="1" applyFill="1" applyBorder="1" applyProtection="1">
      <protection locked="0"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2" fontId="3" fillId="0" borderId="0" xfId="0" applyNumberFormat="1" applyFont="1" applyProtection="1">
      <protection hidden="1"/>
    </xf>
    <xf numFmtId="44" fontId="3" fillId="0" borderId="9" xfId="1" applyFont="1" applyFill="1" applyBorder="1" applyProtection="1">
      <protection hidden="1"/>
    </xf>
    <xf numFmtId="0" fontId="3" fillId="0" borderId="9" xfId="0" applyFont="1" applyBorder="1" applyProtection="1">
      <protection hidden="1"/>
    </xf>
    <xf numFmtId="173" fontId="4" fillId="0" borderId="0" xfId="1" applyNumberFormat="1" applyFont="1" applyFill="1" applyBorder="1" applyProtection="1">
      <protection hidden="1"/>
    </xf>
    <xf numFmtId="0" fontId="19" fillId="0" borderId="0" xfId="0" applyFont="1" applyProtection="1">
      <protection hidden="1"/>
    </xf>
    <xf numFmtId="0" fontId="20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hidden="1"/>
    </xf>
    <xf numFmtId="44" fontId="3" fillId="0" borderId="0" xfId="1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Protection="1">
      <protection hidden="1"/>
    </xf>
    <xf numFmtId="0" fontId="20" fillId="2" borderId="0" xfId="0" applyFont="1" applyFill="1" applyAlignment="1" applyProtection="1">
      <alignment horizontal="center"/>
      <protection hidden="1"/>
    </xf>
    <xf numFmtId="2" fontId="3" fillId="0" borderId="9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14" fontId="4" fillId="2" borderId="9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Alignment="1" applyProtection="1">
      <alignment horizontal="center"/>
      <protection hidden="1"/>
    </xf>
    <xf numFmtId="0" fontId="4" fillId="2" borderId="9" xfId="1" applyNumberFormat="1" applyFont="1" applyFill="1" applyBorder="1" applyProtection="1">
      <protection locked="0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4" fontId="1" fillId="0" borderId="0" xfId="1" applyFont="1" applyFill="1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5" xfId="0" applyFont="1" applyBorder="1" applyAlignment="1" applyProtection="1">
      <alignment horizontal="center"/>
      <protection hidden="1"/>
    </xf>
    <xf numFmtId="44" fontId="1" fillId="0" borderId="9" xfId="1" applyFont="1" applyFill="1" applyBorder="1" applyProtection="1">
      <protection hidden="1"/>
    </xf>
    <xf numFmtId="167" fontId="1" fillId="0" borderId="0" xfId="1" applyNumberFormat="1" applyFont="1" applyFill="1" applyBorder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173" fontId="1" fillId="0" borderId="0" xfId="0" applyNumberFormat="1" applyFont="1" applyProtection="1">
      <protection hidden="1"/>
    </xf>
    <xf numFmtId="1" fontId="1" fillId="0" borderId="5" xfId="0" applyNumberFormat="1" applyFont="1" applyBorder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7" xfId="0" applyFont="1" applyBorder="1" applyAlignment="1" applyProtection="1">
      <alignment horizontal="right"/>
      <protection hidden="1"/>
    </xf>
    <xf numFmtId="173" fontId="1" fillId="0" borderId="7" xfId="0" applyNumberFormat="1" applyFont="1" applyBorder="1" applyProtection="1">
      <protection hidden="1"/>
    </xf>
    <xf numFmtId="0" fontId="1" fillId="0" borderId="8" xfId="0" applyFont="1" applyBorder="1" applyProtection="1">
      <protection hidden="1"/>
    </xf>
    <xf numFmtId="2" fontId="1" fillId="0" borderId="0" xfId="0" applyNumberFormat="1" applyFont="1" applyProtection="1">
      <protection hidden="1"/>
    </xf>
    <xf numFmtId="2" fontId="1" fillId="0" borderId="9" xfId="0" applyNumberFormat="1" applyFont="1" applyBorder="1" applyProtection="1">
      <protection hidden="1"/>
    </xf>
    <xf numFmtId="1" fontId="1" fillId="0" borderId="0" xfId="0" applyNumberFormat="1" applyFont="1" applyProtection="1">
      <protection hidden="1"/>
    </xf>
    <xf numFmtId="166" fontId="1" fillId="0" borderId="9" xfId="0" applyNumberFormat="1" applyFont="1" applyBorder="1" applyProtection="1">
      <protection hidden="1"/>
    </xf>
    <xf numFmtId="0" fontId="1" fillId="0" borderId="10" xfId="0" applyFont="1" applyBorder="1" applyAlignment="1" applyProtection="1">
      <alignment horizontal="center"/>
      <protection hidden="1"/>
    </xf>
    <xf numFmtId="2" fontId="1" fillId="0" borderId="11" xfId="0" applyNumberFormat="1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65" fontId="1" fillId="0" borderId="9" xfId="0" applyNumberFormat="1" applyFont="1" applyBorder="1" applyAlignment="1" applyProtection="1">
      <alignment horizontal="right"/>
      <protection hidden="1"/>
    </xf>
    <xf numFmtId="44" fontId="1" fillId="0" borderId="9" xfId="1" applyFont="1" applyBorder="1" applyProtection="1">
      <protection hidden="1"/>
    </xf>
    <xf numFmtId="2" fontId="1" fillId="0" borderId="0" xfId="1" applyNumberFormat="1" applyFont="1" applyFill="1" applyBorder="1" applyProtection="1">
      <protection hidden="1"/>
    </xf>
    <xf numFmtId="44" fontId="1" fillId="0" borderId="0" xfId="0" applyNumberFormat="1" applyFont="1" applyProtection="1">
      <protection hidden="1"/>
    </xf>
    <xf numFmtId="44" fontId="1" fillId="0" borderId="9" xfId="0" applyNumberFormat="1" applyFont="1" applyBorder="1" applyProtection="1">
      <protection hidden="1"/>
    </xf>
    <xf numFmtId="44" fontId="1" fillId="0" borderId="0" xfId="1" applyFont="1" applyBorder="1" applyProtection="1">
      <protection hidden="1"/>
    </xf>
    <xf numFmtId="0" fontId="1" fillId="0" borderId="9" xfId="0" applyFont="1" applyBorder="1" applyAlignment="1" applyProtection="1">
      <alignment horizontal="right"/>
      <protection hidden="1"/>
    </xf>
    <xf numFmtId="0" fontId="1" fillId="0" borderId="18" xfId="0" applyFont="1" applyBorder="1" applyAlignment="1" applyProtection="1">
      <alignment horizontal="right"/>
      <protection hidden="1"/>
    </xf>
    <xf numFmtId="0" fontId="1" fillId="0" borderId="14" xfId="0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right"/>
      <protection hidden="1"/>
    </xf>
    <xf numFmtId="2" fontId="1" fillId="0" borderId="19" xfId="0" applyNumberFormat="1" applyFont="1" applyBorder="1" applyAlignment="1" applyProtection="1">
      <alignment horizontal="right"/>
      <protection hidden="1"/>
    </xf>
    <xf numFmtId="165" fontId="1" fillId="0" borderId="0" xfId="0" applyNumberFormat="1" applyFont="1" applyAlignment="1" applyProtection="1">
      <alignment horizontal="right"/>
      <protection hidden="1"/>
    </xf>
    <xf numFmtId="14" fontId="1" fillId="0" borderId="0" xfId="0" applyNumberFormat="1" applyFont="1" applyProtection="1">
      <protection hidden="1"/>
    </xf>
    <xf numFmtId="173" fontId="1" fillId="0" borderId="14" xfId="0" applyNumberFormat="1" applyFont="1" applyBorder="1" applyProtection="1">
      <protection hidden="1"/>
    </xf>
    <xf numFmtId="0" fontId="1" fillId="0" borderId="9" xfId="0" applyFont="1" applyBorder="1" applyProtection="1">
      <protection hidden="1"/>
    </xf>
    <xf numFmtId="164" fontId="1" fillId="0" borderId="7" xfId="0" applyNumberFormat="1" applyFont="1" applyBorder="1" applyProtection="1">
      <protection hidden="1"/>
    </xf>
    <xf numFmtId="173" fontId="1" fillId="0" borderId="9" xfId="0" applyNumberFormat="1" applyFont="1" applyBorder="1" applyProtection="1"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173" fontId="1" fillId="0" borderId="0" xfId="1" applyNumberFormat="1" applyFont="1" applyFill="1" applyBorder="1" applyProtection="1">
      <protection hidden="1"/>
    </xf>
    <xf numFmtId="14" fontId="1" fillId="2" borderId="9" xfId="0" applyNumberFormat="1" applyFont="1" applyFill="1" applyBorder="1" applyAlignment="1" applyProtection="1">
      <alignment horizontal="center"/>
      <protection hidden="1"/>
    </xf>
    <xf numFmtId="44" fontId="1" fillId="2" borderId="9" xfId="1" applyFont="1" applyFill="1" applyBorder="1" applyProtection="1">
      <protection hidden="1"/>
    </xf>
    <xf numFmtId="0" fontId="1" fillId="2" borderId="9" xfId="1" applyNumberFormat="1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right" wrapText="1"/>
      <protection hidden="1"/>
    </xf>
    <xf numFmtId="0" fontId="4" fillId="0" borderId="18" xfId="0" applyFont="1" applyBorder="1" applyAlignment="1" applyProtection="1">
      <alignment horizontal="right"/>
      <protection hidden="1"/>
    </xf>
    <xf numFmtId="0" fontId="4" fillId="0" borderId="14" xfId="0" applyFont="1" applyBorder="1" applyAlignment="1" applyProtection="1">
      <alignment horizontal="right"/>
      <protection hidden="1"/>
    </xf>
    <xf numFmtId="0" fontId="4" fillId="0" borderId="21" xfId="0" applyFont="1" applyBorder="1" applyAlignment="1" applyProtection="1">
      <alignment horizontal="right"/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right"/>
      <protection hidden="1"/>
    </xf>
    <xf numFmtId="0" fontId="4" fillId="0" borderId="13" xfId="0" applyFont="1" applyBorder="1" applyAlignment="1" applyProtection="1">
      <alignment horizontal="right"/>
      <protection hidden="1"/>
    </xf>
    <xf numFmtId="0" fontId="4" fillId="0" borderId="11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0" fontId="11" fillId="0" borderId="15" xfId="0" applyFont="1" applyBorder="1" applyAlignment="1" applyProtection="1">
      <alignment horizontal="right"/>
      <protection hidden="1"/>
    </xf>
    <xf numFmtId="0" fontId="11" fillId="0" borderId="16" xfId="0" applyFont="1" applyBorder="1" applyAlignment="1" applyProtection="1">
      <alignment horizontal="right"/>
      <protection hidden="1"/>
    </xf>
    <xf numFmtId="0" fontId="11" fillId="0" borderId="17" xfId="0" applyFont="1" applyBorder="1" applyAlignment="1" applyProtection="1">
      <alignment horizontal="right"/>
      <protection hidden="1"/>
    </xf>
    <xf numFmtId="0" fontId="18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2" fillId="2" borderId="10" xfId="0" applyFont="1" applyFill="1" applyBorder="1" applyAlignment="1" applyProtection="1">
      <alignment horizontal="center"/>
      <protection locked="0" hidden="1"/>
    </xf>
    <xf numFmtId="0" fontId="4" fillId="2" borderId="13" xfId="0" applyFont="1" applyFill="1" applyBorder="1" applyAlignment="1" applyProtection="1">
      <alignment horizontal="center"/>
      <protection locked="0" hidden="1"/>
    </xf>
    <xf numFmtId="0" fontId="4" fillId="2" borderId="11" xfId="0" applyFont="1" applyFill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right"/>
      <protection hidden="1"/>
    </xf>
    <xf numFmtId="0" fontId="1" fillId="0" borderId="14" xfId="0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right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0" xfId="0" applyFont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right"/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9" xfId="0" applyFont="1" applyBorder="1" applyAlignment="1" applyProtection="1">
      <alignment horizontal="right"/>
      <protection hidden="1"/>
    </xf>
  </cellXfs>
  <cellStyles count="3">
    <cellStyle name="Monétaire" xfId="1" builtinId="4"/>
    <cellStyle name="Normal" xfId="0" builtinId="0"/>
    <cellStyle name="Normal 2" xfId="2" xr:uid="{544D4CFC-2FD1-438A-B03F-3D652031FE65}"/>
  </cellStyles>
  <dxfs count="69"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15C5A"/>
      <color rgb="FFCCFFCC"/>
      <color rgb="FF009999"/>
      <color rgb="FF66FF66"/>
      <color rgb="FF9A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1185332</xdr:colOff>
      <xdr:row>0</xdr:row>
      <xdr:rowOff>0</xdr:rowOff>
    </xdr:from>
    <xdr:to>
      <xdr:col>1</xdr:col>
      <xdr:colOff>257967</xdr:colOff>
      <xdr:row>2</xdr:row>
      <xdr:rowOff>70941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C424003-8B34-4F5E-967D-1986D54643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1185332" y="0"/>
          <a:ext cx="649552" cy="568358"/>
        </a:xfrm>
        <a:prstGeom prst="rect">
          <a:avLst/>
        </a:prstGeom>
      </xdr:spPr>
    </xdr:pic>
    <xdr:clientData/>
  </xdr:twoCellAnchor>
  <xdr:twoCellAnchor>
    <xdr:from>
      <xdr:col>14</xdr:col>
      <xdr:colOff>603250</xdr:colOff>
      <xdr:row>1</xdr:row>
      <xdr:rowOff>0</xdr:rowOff>
    </xdr:from>
    <xdr:to>
      <xdr:col>18</xdr:col>
      <xdr:colOff>450850</xdr:colOff>
      <xdr:row>6</xdr:row>
      <xdr:rowOff>135466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276E437-285F-452D-AA2D-41821CC5A931}"/>
            </a:ext>
          </a:extLst>
        </xdr:cNvPr>
        <xdr:cNvSpPr txBox="1"/>
      </xdr:nvSpPr>
      <xdr:spPr>
        <a:xfrm>
          <a:off x="13440833" y="296333"/>
          <a:ext cx="2895600" cy="971550"/>
        </a:xfrm>
        <a:prstGeom prst="rect">
          <a:avLst/>
        </a:prstGeom>
        <a:noFill/>
        <a:ln w="2857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1411552</xdr:colOff>
      <xdr:row>2</xdr:row>
      <xdr:rowOff>39191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399F72F-CB59-47F6-BE27-0C76750A3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762000" y="0"/>
          <a:ext cx="649552" cy="568358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0</xdr:row>
      <xdr:rowOff>179917</xdr:rowOff>
    </xdr:from>
    <xdr:to>
      <xdr:col>18</xdr:col>
      <xdr:colOff>609600</xdr:colOff>
      <xdr:row>5</xdr:row>
      <xdr:rowOff>103717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ADF2849-C665-464C-BC9F-E66C91CF9515}"/>
            </a:ext>
          </a:extLst>
        </xdr:cNvPr>
        <xdr:cNvSpPr txBox="1"/>
      </xdr:nvSpPr>
      <xdr:spPr>
        <a:xfrm>
          <a:off x="13451417" y="179917"/>
          <a:ext cx="2895600" cy="971550"/>
        </a:xfrm>
        <a:prstGeom prst="rect">
          <a:avLst/>
        </a:prstGeom>
        <a:noFill/>
        <a:ln w="2857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154781</xdr:colOff>
      <xdr:row>4</xdr:row>
      <xdr:rowOff>130968</xdr:rowOff>
    </xdr:from>
    <xdr:to>
      <xdr:col>19</xdr:col>
      <xdr:colOff>697706</xdr:colOff>
      <xdr:row>24</xdr:row>
      <xdr:rowOff>101335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CD0B5CE-FD45-41A6-B1A6-A467FDE11FE8}"/>
            </a:ext>
          </a:extLst>
        </xdr:cNvPr>
        <xdr:cNvSpPr txBox="1"/>
      </xdr:nvSpPr>
      <xdr:spPr>
        <a:xfrm>
          <a:off x="12227719" y="631031"/>
          <a:ext cx="5114925" cy="33041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Données de l'exemple :</a:t>
          </a:r>
        </a:p>
        <a:p>
          <a:endParaRPr lang="fr-FR" sz="1100"/>
        </a:p>
        <a:p>
          <a:r>
            <a:rPr lang="fr-FR" sz="1100"/>
            <a:t>Horaire : 10 heures</a:t>
          </a:r>
          <a:r>
            <a:rPr lang="fr-FR" sz="1100" baseline="0"/>
            <a:t> par jour (le lundi mardi jeudi vendredi)</a:t>
          </a:r>
        </a:p>
        <a:p>
          <a:r>
            <a:rPr lang="fr-FR" sz="1100" baseline="0"/>
            <a:t>Contrat :  42 semaines programmées</a:t>
          </a:r>
        </a:p>
        <a:p>
          <a:r>
            <a:rPr lang="fr-FR" sz="1100" baseline="0"/>
            <a:t>Salaire brut mensualisé : 10 x 42 x 4 /12 x 4 euro   = 560 euro</a:t>
          </a:r>
        </a:p>
        <a:p>
          <a:r>
            <a:rPr lang="fr-FR" sz="1100" baseline="0"/>
            <a:t>Début du contrat : 01/09/2022 </a:t>
          </a:r>
        </a:p>
        <a:p>
          <a:r>
            <a:rPr lang="fr-FR" sz="1100" baseline="0"/>
            <a:t>Acquis l'année précédente au 31/05/2024 : 23 jours ouvrables)</a:t>
          </a:r>
        </a:p>
        <a:p>
          <a:r>
            <a:rPr lang="fr-FR" sz="1100" baseline="0"/>
            <a:t>Montant de l'indemnité de congés payés au 31/05/2024 : 460 €</a:t>
          </a:r>
        </a:p>
        <a:p>
          <a:r>
            <a:rPr lang="fr-FR" sz="1100" baseline="0"/>
            <a:t>Taux horaire : 4 € brut</a:t>
          </a:r>
        </a:p>
        <a:p>
          <a:r>
            <a:rPr lang="fr-FR" sz="1100" baseline="0"/>
            <a:t>2 jours pour enfants de moins de 15 ans</a:t>
          </a:r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Dans cet exemple on fait le calcul de l'indemnité de congés due au 31/05/2024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  <xdr:twoCellAnchor editAs="oneCell">
    <xdr:from>
      <xdr:col>0</xdr:col>
      <xdr:colOff>1166813</xdr:colOff>
      <xdr:row>2</xdr:row>
      <xdr:rowOff>35719</xdr:rowOff>
    </xdr:from>
    <xdr:to>
      <xdr:col>1</xdr:col>
      <xdr:colOff>459052</xdr:colOff>
      <xdr:row>4</xdr:row>
      <xdr:rowOff>104014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2D9F136-4025-41AE-863F-8DE4AE52D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1166813" y="523875"/>
          <a:ext cx="649552" cy="568358"/>
        </a:xfrm>
        <a:prstGeom prst="rect">
          <a:avLst/>
        </a:prstGeom>
      </xdr:spPr>
    </xdr:pic>
    <xdr:clientData/>
  </xdr:twoCellAnchor>
  <xdr:oneCellAnchor>
    <xdr:from>
      <xdr:col>14</xdr:col>
      <xdr:colOff>619125</xdr:colOff>
      <xdr:row>0</xdr:row>
      <xdr:rowOff>119062</xdr:rowOff>
    </xdr:from>
    <xdr:ext cx="2562225" cy="63817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A9FF5F3-C61B-481F-8E4E-2DA3B7DEE5E4}"/>
            </a:ext>
          </a:extLst>
        </xdr:cNvPr>
        <xdr:cNvSpPr txBox="1"/>
      </xdr:nvSpPr>
      <xdr:spPr>
        <a:xfrm>
          <a:off x="13454063" y="119062"/>
          <a:ext cx="25622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4400" b="1">
              <a:solidFill>
                <a:srgbClr val="FFC000"/>
              </a:solidFill>
            </a:rPr>
            <a:t>EXEMPLE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223837</xdr:colOff>
      <xdr:row>6</xdr:row>
      <xdr:rowOff>57150</xdr:rowOff>
    </xdr:from>
    <xdr:to>
      <xdr:col>20</xdr:col>
      <xdr:colOff>4762</xdr:colOff>
      <xdr:row>25</xdr:row>
      <xdr:rowOff>159543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A0606DA-CB18-47C8-BE5E-4CA10D60DC05}"/>
            </a:ext>
          </a:extLst>
        </xdr:cNvPr>
        <xdr:cNvSpPr txBox="1"/>
      </xdr:nvSpPr>
      <xdr:spPr>
        <a:xfrm>
          <a:off x="12141993" y="950119"/>
          <a:ext cx="5114925" cy="33051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Données de l'exemple :</a:t>
          </a:r>
        </a:p>
        <a:p>
          <a:endParaRPr lang="fr-FR" sz="1100"/>
        </a:p>
        <a:p>
          <a:r>
            <a:rPr lang="fr-FR" sz="1100"/>
            <a:t>Horaire : 10 heures</a:t>
          </a:r>
          <a:r>
            <a:rPr lang="fr-FR" sz="1100" baseline="0"/>
            <a:t> par jour (le lundi mardi jeudi vendredi)</a:t>
          </a:r>
        </a:p>
        <a:p>
          <a:r>
            <a:rPr lang="fr-FR" sz="1100" baseline="0"/>
            <a:t>Contrat :  42 semaines programmées</a:t>
          </a:r>
        </a:p>
        <a:p>
          <a:r>
            <a:rPr lang="fr-FR" sz="1100" baseline="0"/>
            <a:t>Salaire brut mensualisé : 10 x 42 x 4 /12 x 4 euro   = 560 euro</a:t>
          </a:r>
        </a:p>
        <a:p>
          <a:r>
            <a:rPr lang="fr-FR" sz="1100" baseline="0"/>
            <a:t>Début du contrat : 01/09/2022 </a:t>
          </a:r>
        </a:p>
        <a:p>
          <a:r>
            <a:rPr lang="fr-FR" sz="1100" baseline="0"/>
            <a:t>Acquis l'année au 31/05/2024  précédent  30 jours ouvrables)</a:t>
          </a:r>
        </a:p>
        <a:p>
          <a:r>
            <a:rPr lang="fr-FR" sz="1100" baseline="0"/>
            <a:t>Montant de l'indemnité du congés payés au 31/05/2024 : 800 € payées en juin 800 € Taux horaire : 4 € brut</a:t>
          </a:r>
        </a:p>
        <a:p>
          <a:r>
            <a:rPr lang="fr-FR" sz="1100" baseline="0"/>
            <a:t>2 jours pour enfants de moins de 15 ans</a:t>
          </a:r>
        </a:p>
        <a:p>
          <a:r>
            <a:rPr lang="fr-FR" sz="1100" baseline="0"/>
            <a:t>Paiement de l'indemnité de congés en juin en totalité</a:t>
          </a:r>
        </a:p>
        <a:p>
          <a:endParaRPr lang="fr-FR" sz="1100" baseline="0"/>
        </a:p>
        <a:p>
          <a:r>
            <a:rPr lang="fr-FR" sz="1100" baseline="0"/>
            <a:t>Fin de contrat le 31/07/2024</a:t>
          </a:r>
        </a:p>
        <a:p>
          <a:endParaRPr lang="fr-FR" sz="1100" baseline="0"/>
        </a:p>
        <a:p>
          <a:r>
            <a:rPr lang="fr-FR" sz="1100" baseline="0"/>
            <a:t>Dans cet exemple on fait le calcul de l'indemnité compensatrice de congés payés au 31/07/2024 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  <xdr:twoCellAnchor editAs="oneCell">
    <xdr:from>
      <xdr:col>0</xdr:col>
      <xdr:colOff>714375</xdr:colOff>
      <xdr:row>2</xdr:row>
      <xdr:rowOff>23813</xdr:rowOff>
    </xdr:from>
    <xdr:to>
      <xdr:col>0</xdr:col>
      <xdr:colOff>1363927</xdr:colOff>
      <xdr:row>4</xdr:row>
      <xdr:rowOff>44483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D01D6D0-A4CC-4CAA-9D42-2FEDBF10E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714375" y="511969"/>
          <a:ext cx="649552" cy="568358"/>
        </a:xfrm>
        <a:prstGeom prst="rect">
          <a:avLst/>
        </a:prstGeom>
      </xdr:spPr>
    </xdr:pic>
    <xdr:clientData/>
  </xdr:twoCellAnchor>
  <xdr:oneCellAnchor>
    <xdr:from>
      <xdr:col>14</xdr:col>
      <xdr:colOff>726281</xdr:colOff>
      <xdr:row>1</xdr:row>
      <xdr:rowOff>11907</xdr:rowOff>
    </xdr:from>
    <xdr:ext cx="2562225" cy="63817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E5C588D-070A-4B71-8982-E27D9246B7CF}"/>
            </a:ext>
          </a:extLst>
        </xdr:cNvPr>
        <xdr:cNvSpPr txBox="1"/>
      </xdr:nvSpPr>
      <xdr:spPr>
        <a:xfrm>
          <a:off x="13406437" y="309563"/>
          <a:ext cx="25622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4400" b="1">
              <a:solidFill>
                <a:srgbClr val="FFC000"/>
              </a:solidFill>
            </a:rPr>
            <a:t>EXEMPLE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99"/>
    <pageSetUpPr fitToPage="1"/>
  </sheetPr>
  <dimension ref="A1:Z253"/>
  <sheetViews>
    <sheetView showGridLines="0" tabSelected="1" zoomScale="90" zoomScaleNormal="90" workbookViewId="0">
      <selection activeCell="F19" sqref="F19"/>
    </sheetView>
  </sheetViews>
  <sheetFormatPr baseColWidth="10" defaultRowHeight="15" x14ac:dyDescent="0.25"/>
  <cols>
    <col min="1" max="1" width="23.7109375" style="2" customWidth="1"/>
    <col min="2" max="3" width="11.42578125" style="2"/>
    <col min="4" max="4" width="12.140625" style="2" bestFit="1" customWidth="1"/>
    <col min="5" max="5" width="13" style="2" customWidth="1"/>
    <col min="6" max="6" width="11.42578125" style="2" customWidth="1"/>
    <col min="7" max="7" width="11.42578125" style="2"/>
    <col min="8" max="8" width="13.28515625" style="2" customWidth="1"/>
    <col min="9" max="9" width="19.7109375" style="2" customWidth="1"/>
    <col min="10" max="10" width="11.42578125" style="2"/>
    <col min="11" max="11" width="18.7109375" style="2" customWidth="1"/>
    <col min="12" max="12" width="16.7109375" style="2" customWidth="1"/>
    <col min="13" max="14" width="11.42578125" style="2"/>
    <col min="15" max="26" width="11.42578125" style="11"/>
    <col min="27" max="16384" width="11.42578125" style="2"/>
  </cols>
  <sheetData>
    <row r="1" spans="1:26" ht="23.25" x14ac:dyDescent="0.35">
      <c r="B1" s="149" t="s">
        <v>27</v>
      </c>
      <c r="C1" s="149"/>
      <c r="D1" s="149"/>
      <c r="E1" s="149"/>
      <c r="F1" s="149"/>
      <c r="G1" s="149"/>
      <c r="H1" s="149"/>
      <c r="I1" s="149"/>
      <c r="J1" s="90" t="s">
        <v>56</v>
      </c>
      <c r="K1" s="56"/>
      <c r="L1" s="56"/>
      <c r="N1" s="56"/>
    </row>
    <row r="2" spans="1:26" ht="15.75" x14ac:dyDescent="0.25">
      <c r="C2" s="170" t="s">
        <v>97</v>
      </c>
      <c r="D2" s="170"/>
      <c r="E2" s="170"/>
      <c r="F2" s="170"/>
      <c r="G2" s="170"/>
      <c r="H2" s="170"/>
      <c r="I2" s="170"/>
      <c r="L2" s="86" t="s">
        <v>58</v>
      </c>
      <c r="M2" s="85" t="s">
        <v>57</v>
      </c>
    </row>
    <row r="3" spans="1:26" s="19" customFormat="1" ht="12.75" x14ac:dyDescent="0.2">
      <c r="C3" s="18"/>
      <c r="D3" s="21"/>
      <c r="E3" s="21"/>
      <c r="F3" s="21"/>
      <c r="G3" s="21"/>
      <c r="H3" s="21"/>
      <c r="M3" s="3">
        <f>+DATE(YEAR(M5),6,1)</f>
        <v>153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9" customFormat="1" ht="12.75" x14ac:dyDescent="0.2">
      <c r="A4" s="19" t="s">
        <v>6</v>
      </c>
      <c r="B4" s="154" t="str">
        <f>+"Du "&amp;TEXT(L5,"jj/mm/aaaa")&amp;" au "&amp;TEXT(M5,"jj/mm/aaaa")</f>
        <v>Du 01/06/3799 au 31/05/1900</v>
      </c>
      <c r="C4" s="154"/>
      <c r="D4" s="154"/>
      <c r="H4" s="20" t="s">
        <v>0</v>
      </c>
      <c r="I4" s="95"/>
      <c r="K4" s="77" t="s">
        <v>1</v>
      </c>
      <c r="L4" s="78" t="s">
        <v>2</v>
      </c>
      <c r="M4" s="78" t="s">
        <v>3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9" customFormat="1" ht="12.75" x14ac:dyDescent="0.2">
      <c r="A5" s="19" t="s">
        <v>7</v>
      </c>
      <c r="B5" s="155"/>
      <c r="C5" s="156"/>
      <c r="D5" s="157"/>
      <c r="K5" s="77">
        <v>1</v>
      </c>
      <c r="L5" s="3">
        <f>+IF(AND(M5&lt;M3,I4&lt;=DATE(YEAR(M3)-1,6,1)),DATE(YEAR(M3)-1,6,1),IF(AND(M5&lt;M3,I4&gt;=DATE(YEAR(M3)-1,6,1)),I4,IF(I4&gt;M3,I4,M3)))</f>
        <v>693749</v>
      </c>
      <c r="M5" s="3">
        <f>+I6</f>
        <v>152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9" customFormat="1" ht="12.75" x14ac:dyDescent="0.2">
      <c r="E6" s="21"/>
      <c r="H6" s="20" t="s">
        <v>4</v>
      </c>
      <c r="I6" s="96">
        <f>+DATE(YEAR(I8),5,31)</f>
        <v>152</v>
      </c>
      <c r="K6" s="77"/>
      <c r="L6" s="3"/>
      <c r="M6" s="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9" customFormat="1" ht="12.75" x14ac:dyDescent="0.2">
      <c r="C7" s="20" t="str">
        <f>+IF(M2="Brut","Salaire mensualisé brut :","Salaire mensualisé net :")</f>
        <v>Salaire mensualisé brut :</v>
      </c>
      <c r="D7" s="73"/>
      <c r="E7" s="23"/>
      <c r="K7" s="77"/>
      <c r="L7" s="77"/>
      <c r="M7" s="77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9" customFormat="1" ht="12.75" x14ac:dyDescent="0.2">
      <c r="C8" s="20"/>
      <c r="H8" s="20" t="s">
        <v>38</v>
      </c>
      <c r="I8" s="95"/>
      <c r="K8" s="3">
        <f>+DATE(YEAR(M5)-1,6,1)</f>
        <v>693749</v>
      </c>
      <c r="L8" s="79" t="s">
        <v>5</v>
      </c>
      <c r="M8" s="3">
        <f>DATE(YEAR(I6),MONTH(I6),1)</f>
        <v>122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9" customFormat="1" ht="13.5" thickBot="1" x14ac:dyDescent="0.25">
      <c r="C9" s="20" t="str">
        <f>+IF(M2="Brut","Taux horaire brut :","Taux horaire net :")</f>
        <v>Taux horaire brut :</v>
      </c>
      <c r="D9" s="73"/>
      <c r="E9" s="23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9" customFormat="1" ht="13.5" thickTop="1" x14ac:dyDescent="0.2">
      <c r="C10" s="20"/>
      <c r="H10" s="4" t="s">
        <v>28</v>
      </c>
      <c r="I10" s="24"/>
      <c r="J10" s="24"/>
      <c r="K10" s="24"/>
      <c r="L10" s="24"/>
      <c r="M10" s="25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9" customFormat="1" ht="12.75" x14ac:dyDescent="0.2">
      <c r="C11" s="20" t="s">
        <v>19</v>
      </c>
      <c r="D11" s="97"/>
      <c r="H11" s="27"/>
      <c r="M11" s="28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9" customFormat="1" ht="12.75" x14ac:dyDescent="0.2">
      <c r="H12" s="158" t="str">
        <f>+B4</f>
        <v>Du 01/06/3799 au 31/05/1900</v>
      </c>
      <c r="I12" s="159"/>
      <c r="J12" s="7"/>
      <c r="K12" s="70">
        <f>+G67</f>
        <v>0</v>
      </c>
      <c r="L12" s="20" t="s">
        <v>29</v>
      </c>
      <c r="M12" s="29">
        <f>+F39</f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9" customFormat="1" ht="12.75" x14ac:dyDescent="0.2">
      <c r="C13" s="20" t="s">
        <v>20</v>
      </c>
      <c r="D13" s="32">
        <f>IF(D11,ROUND(+D7*12/D11,2),0)</f>
        <v>0</v>
      </c>
      <c r="E13" s="30" t="str">
        <f>+IF(M2="Brut","en brut","en net")</f>
        <v>en brut</v>
      </c>
      <c r="H13" s="160"/>
      <c r="I13" s="161"/>
      <c r="K13" s="57"/>
      <c r="L13" s="20" t="s">
        <v>30</v>
      </c>
      <c r="M13" s="31">
        <f>+F32</f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9" customFormat="1" ht="12.75" x14ac:dyDescent="0.2">
      <c r="H14" s="27"/>
      <c r="J14" s="5"/>
      <c r="K14" s="59"/>
      <c r="L14" s="20"/>
      <c r="M14" s="29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9" customFormat="1" ht="13.5" customHeight="1" thickBot="1" x14ac:dyDescent="0.25">
      <c r="A15" s="150" t="s">
        <v>49</v>
      </c>
      <c r="B15" s="150"/>
      <c r="C15" s="150"/>
      <c r="D15" s="73"/>
      <c r="E15" s="87" t="str">
        <f>+IF(M2="Brut","en brut","en net")</f>
        <v>en brut</v>
      </c>
      <c r="H15" s="33"/>
      <c r="I15" s="34"/>
      <c r="J15" s="35"/>
      <c r="K15" s="60"/>
      <c r="L15" s="34"/>
      <c r="M15" s="37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9" customFormat="1" ht="13.5" customHeight="1" thickTop="1" x14ac:dyDescent="0.2">
      <c r="A16" s="150"/>
      <c r="B16" s="150"/>
      <c r="C16" s="150"/>
      <c r="J16" s="20"/>
      <c r="K16" s="57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9" customFormat="1" ht="12.75" x14ac:dyDescent="0.2">
      <c r="A17" s="71"/>
      <c r="B17" s="71"/>
      <c r="C17" s="71"/>
      <c r="J17" s="20"/>
      <c r="K17" s="57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9" customFormat="1" ht="12.75" customHeight="1" x14ac:dyDescent="0.2">
      <c r="A18" s="150" t="s">
        <v>50</v>
      </c>
      <c r="B18" s="150"/>
      <c r="C18" s="150"/>
      <c r="D18" s="97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9" customFormat="1" ht="12.75" customHeight="1" x14ac:dyDescent="0.2">
      <c r="A19" s="150"/>
      <c r="B19" s="150"/>
      <c r="C19" s="150"/>
      <c r="D19" s="26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9" customFormat="1" ht="12.75" x14ac:dyDescent="0.2">
      <c r="C20" s="20"/>
      <c r="D20" s="26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9" customFormat="1" ht="12.75" x14ac:dyDescent="0.2">
      <c r="C21" s="20"/>
      <c r="D21" s="26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9" customFormat="1" ht="12.75" x14ac:dyDescent="0.2">
      <c r="A22" s="7" t="s">
        <v>21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9" customFormat="1" ht="12.75" x14ac:dyDescent="0.2"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9" customFormat="1" ht="12.75" x14ac:dyDescent="0.2">
      <c r="E24" s="72" t="s">
        <v>52</v>
      </c>
      <c r="F24" s="97"/>
      <c r="H24" s="8" t="s">
        <v>8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9" customFormat="1" ht="12.75" x14ac:dyDescent="0.2">
      <c r="H25" s="77">
        <f>+ROUND(F24/4,4)</f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9" customFormat="1" ht="12.75" x14ac:dyDescent="0.2">
      <c r="E26" s="72" t="s">
        <v>51</v>
      </c>
      <c r="F26" s="42">
        <f>ROUND(+F24+(D18/6),2)</f>
        <v>0</v>
      </c>
      <c r="H26" s="71" t="str">
        <f>+"L'AM a travaillé "&amp;F24&amp;" semaines sur la période de référence (1er juin au 31 mai)"</f>
        <v>L'AM a travaillé  semaines sur la période de référence (1er juin au 31 mai)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9" customFormat="1" ht="12.75" x14ac:dyDescent="0.2">
      <c r="E27" s="20"/>
      <c r="F27" s="26"/>
      <c r="H27" s="71" t="s">
        <v>55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9" customFormat="1" ht="12.75" x14ac:dyDescent="0.2">
      <c r="E28" s="20"/>
      <c r="H28" s="71" t="s">
        <v>59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9" customFormat="1" ht="12.75" x14ac:dyDescent="0.2">
      <c r="A29" s="77"/>
      <c r="B29" s="77"/>
      <c r="C29" s="77"/>
      <c r="D29" s="17"/>
      <c r="E29" s="16" t="s">
        <v>86</v>
      </c>
      <c r="F29" s="97"/>
      <c r="H29" s="7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9" customFormat="1" ht="12.75" x14ac:dyDescent="0.2">
      <c r="E30" s="20"/>
      <c r="F30" s="38"/>
      <c r="H30" s="71" t="str">
        <f>+"On calcule donc un nombre de période avant la prise en compte des cp acquis soit "&amp;F24&amp;" / 4 = "&amp;ROUND(F24/4,4)&amp;" période(s)"</f>
        <v>On calcule donc un nombre de période avant la prise en compte des cp acquis soit  / 4 = 0 période(s)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9" customFormat="1" ht="12.75" x14ac:dyDescent="0.2">
      <c r="H31" s="71" t="str">
        <f>+"Les semaines de cp acquis l'année précédente sont "&amp;D18&amp;" jrs ouvrables / 6 jours par semaine = "&amp;ROUND(D18/6,2)&amp;" semaine(s)"</f>
        <v>Les semaines de cp acquis l'année précédente sont  jrs ouvrables / 6 jours par semaine = 0 semaine(s)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9" customFormat="1" ht="12.75" x14ac:dyDescent="0.2">
      <c r="C32" s="20" t="s">
        <v>9</v>
      </c>
      <c r="D32" s="97"/>
      <c r="E32" s="20" t="s">
        <v>10</v>
      </c>
      <c r="F32" s="38">
        <f>IF(ROUND(+(MIN(F39,30)-D37),0)&lt;0,0,ROUND(+(MIN(F39,30)-D37),0))</f>
        <v>0</v>
      </c>
      <c r="H32" s="71" t="str">
        <f>+"Si on prend en compte les semaines de cp acquis (soit "&amp;ROUND(D18/6,2)&amp;" semaines, soit "&amp;ROUND(D18/6/4,2)&amp;" période(s)) pour le calcul du nombre total de période on obtient :"</f>
        <v>Si on prend en compte les semaines de cp acquis (soit 0 semaines, soit 0 période(s)) pour le calcul du nombre total de période on obtient :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19" customFormat="1" ht="12.75" x14ac:dyDescent="0.2">
      <c r="A33" s="162" t="s">
        <v>32</v>
      </c>
      <c r="B33" s="162"/>
      <c r="C33" s="162"/>
      <c r="H33" s="71" t="str">
        <f>+H25&amp;" période(s) + "&amp;ROUND(D18/6/4,4)&amp;" période(s) = "&amp;D35&amp;" arrondi à "&amp;F35&amp;" période(s)"</f>
        <v>0 période(s) + 0 période(s) = 0 arrondi à 0 période(s)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9" customFormat="1" ht="12.75" x14ac:dyDescent="0.2">
      <c r="C34" s="20"/>
      <c r="H34" s="7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9" customFormat="1" ht="12.75" x14ac:dyDescent="0.2">
      <c r="C35" s="20" t="s">
        <v>33</v>
      </c>
      <c r="D35" s="39">
        <f>ROUND(F26/4,4)</f>
        <v>0</v>
      </c>
      <c r="E35" s="40" t="s">
        <v>12</v>
      </c>
      <c r="F35" s="41">
        <f>+ROUND(D35,2)</f>
        <v>0</v>
      </c>
      <c r="H35" s="93" t="s">
        <v>87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9" customFormat="1" ht="12.75" x14ac:dyDescent="0.2">
      <c r="H36" s="71" t="str">
        <f>+F35&amp;" période(s) x 2,5 jours + "&amp;D32&amp;" jour(s) enfant(s) de moins de 15 ans + "&amp;F29&amp;" jour(s) = "&amp;F39&amp;" jour(s) ouvrable(s) maximum"</f>
        <v>0 période(s) x 2,5 jours +  jour(s) enfant(s) de moins de 15 ans +  jour(s) = 0 jour(s) ouvrable(s) maximum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19" customFormat="1" ht="12.75" x14ac:dyDescent="0.2">
      <c r="C37" s="20" t="s">
        <v>34</v>
      </c>
      <c r="D37" s="42">
        <f>ROUNDUP(F35*2.5+F29,0)</f>
        <v>0</v>
      </c>
      <c r="H37" s="71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s="19" customFormat="1" ht="12.75" x14ac:dyDescent="0.2">
      <c r="H38" s="71" t="s">
        <v>22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9" customFormat="1" ht="12.75" x14ac:dyDescent="0.2">
      <c r="C39" s="20" t="s">
        <v>11</v>
      </c>
      <c r="D39" s="92">
        <f>+F35*2.5+D32+F29</f>
        <v>0</v>
      </c>
      <c r="E39" s="40" t="s">
        <v>12</v>
      </c>
      <c r="F39" s="43">
        <f>IF(D39&lt;30,ROUNDUP(D39,0),30)</f>
        <v>0</v>
      </c>
      <c r="H39" s="71" t="str">
        <f>+"[Salaire hebdomadaire moyen ("&amp;ROUND(D13,2)&amp;" €) / 6 jours] x [ nombre de jours ouvrables de CP ("&amp;F39&amp;" jour(s)]"</f>
        <v>[Salaire hebdomadaire moyen (0 €) / 6 jours] x [ nombre de jours ouvrables de CP (0 jour(s)]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9" customFormat="1" ht="12.75" x14ac:dyDescent="0.2">
      <c r="H40" s="71" t="str">
        <f>+"soit un maintien de salaire de "&amp;D41&amp;" euros"</f>
        <v>soit un maintien de salaire de 0 euros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9" customFormat="1" ht="12.75" x14ac:dyDescent="0.2">
      <c r="A41" s="163" t="s">
        <v>23</v>
      </c>
      <c r="B41" s="164"/>
      <c r="C41" s="165"/>
      <c r="D41" s="61">
        <f>ROUND((D13/6)*F39,2)</f>
        <v>0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9" customFormat="1" ht="12.75" x14ac:dyDescent="0.2"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9" customFormat="1" ht="12.75" x14ac:dyDescent="0.2">
      <c r="A43" s="7" t="s">
        <v>13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9" customFormat="1" ht="12.75" x14ac:dyDescent="0.2"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9" customFormat="1" ht="12.75" x14ac:dyDescent="0.2">
      <c r="A45" s="19" t="s">
        <v>14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9" customFormat="1" ht="51" x14ac:dyDescent="0.2">
      <c r="B46" s="44" t="str">
        <f>+IF(M2="Brut","Salaires bruts","Salaires nets")</f>
        <v>Salaires bruts</v>
      </c>
      <c r="C46" s="94" t="s">
        <v>88</v>
      </c>
      <c r="D46" s="46" t="s">
        <v>15</v>
      </c>
      <c r="E46" s="45"/>
      <c r="F46" s="45"/>
      <c r="H46" s="8" t="s">
        <v>8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9" customFormat="1" ht="12.75" x14ac:dyDescent="0.2">
      <c r="A47" s="47" t="str">
        <f>+IF(AND(DATE(YEAR($K$8),6,30)&gt;=$K$8,DATE(YEAR($K$8),6,1)&lt;=$M$5,$I$4&lt;=DATE(YEAR($K$8),6,30)),DATE(YEAR($K$8),6,1),"Hors période")</f>
        <v>Hors période</v>
      </c>
      <c r="B47" s="73"/>
      <c r="C47" s="73"/>
      <c r="D47" s="48">
        <f>ROUND(((+B47+C47)*10%),2)</f>
        <v>0</v>
      </c>
      <c r="E47" s="76"/>
      <c r="F47" s="49"/>
      <c r="H47" s="19" t="s">
        <v>16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9" customFormat="1" ht="12.75" x14ac:dyDescent="0.2">
      <c r="A48" s="47" t="str">
        <f>+IF(AND(DATE(YEAR($K$8),7,31)&gt;=$K$8,DATE(YEAR($K$8),7,1)&lt;=$M$5,$I$4&lt;=DATE(YEAR($K$8),7,31)),DATE(YEAR($K$8),7,1),"Hors période")</f>
        <v>Hors période</v>
      </c>
      <c r="B48" s="73"/>
      <c r="C48" s="73"/>
      <c r="D48" s="48">
        <f t="shared" ref="D48:D58" si="0">ROUND(((+B48+C48)*10%),2)</f>
        <v>0</v>
      </c>
      <c r="E48" s="76"/>
      <c r="F48" s="49"/>
      <c r="H48" s="71" t="s">
        <v>54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9" customFormat="1" ht="12.75" x14ac:dyDescent="0.2">
      <c r="A49" s="47" t="str">
        <f>+IF(AND(DATE(YEAR($K$8),8,31)&gt;=$K$8,DATE(YEAR($K$8),8,1)&lt;=$M$5,$I$4&lt;=DATE(YEAR($K$8),8,31)),DATE(YEAR($K$8),8,1),"Hors période")</f>
        <v>Hors période</v>
      </c>
      <c r="B49" s="73"/>
      <c r="C49" s="73"/>
      <c r="D49" s="48">
        <f t="shared" si="0"/>
        <v>0</v>
      </c>
      <c r="E49" s="76"/>
      <c r="F49" s="49"/>
      <c r="H49" s="71" t="str">
        <f>+"Soit pour la ligne du mois de Février "&amp;D55&amp;" euros"</f>
        <v>Soit pour la ligne du mois de Février 0 euros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9" customFormat="1" x14ac:dyDescent="0.25">
      <c r="A50" s="47" t="str">
        <f>+IF(AND(DATE(YEAR($K$8),9,30)&gt;=$K$8,DATE(YEAR($K$8),9,1)&lt;=$M$5,$I$4&lt;=DATE(YEAR($K$8),9,30)),DATE(YEAR($K$8),9,1),"Hors période")</f>
        <v>Hors période</v>
      </c>
      <c r="B50" s="73"/>
      <c r="C50" s="73"/>
      <c r="D50" s="48">
        <f t="shared" si="0"/>
        <v>0</v>
      </c>
      <c r="E50" s="76"/>
      <c r="F50" s="49"/>
      <c r="H50" s="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9" customFormat="1" ht="12.75" x14ac:dyDescent="0.2">
      <c r="A51" s="47" t="str">
        <f>+IF(AND(DATE(YEAR($K$8),10,31)&gt;=$K$8,DATE(YEAR($K$8),10,1)&lt;=$M$5,$I$4&lt;=DATE(YEAR($K$8),10,31)),DATE(YEAR($K$8),10,1),"Hors période")</f>
        <v>Hors période</v>
      </c>
      <c r="B51" s="73"/>
      <c r="C51" s="73"/>
      <c r="D51" s="48">
        <f t="shared" si="0"/>
        <v>0</v>
      </c>
      <c r="E51" s="76"/>
      <c r="F51" s="49"/>
      <c r="H51" s="71" t="str">
        <f>+"10% sur les salaires de l'année de référence ("&amp;ROUND(D59,2)&amp;" euros)+ 10% de l'indemnité de CP de l'année précédente ("&amp;ROUND(D61,2)&amp;" euros) = "&amp;ROUND(D59+D61,2)&amp;" euros"</f>
        <v>10% sur les salaires de l'année de référence (0 euros)+ 10% de l'indemnité de CP de l'année précédente (0 euros) = 0 euros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9" customFormat="1" x14ac:dyDescent="0.25">
      <c r="A52" s="47" t="str">
        <f>+IF(AND(DATE(YEAR($K$8),11,30)&gt;=$K$8,DATE(YEAR($K$8),11,1)&lt;=$M$5,$I$4&lt;=DATE(YEAR($K$8),11,30)),DATE(YEAR($K$8),11,1),"Hors période")</f>
        <v>Hors période</v>
      </c>
      <c r="B52" s="73"/>
      <c r="C52" s="73"/>
      <c r="D52" s="48">
        <f t="shared" si="0"/>
        <v>0</v>
      </c>
      <c r="E52" s="76"/>
      <c r="F52" s="49"/>
      <c r="H52" s="2"/>
      <c r="M52" s="50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9" customFormat="1" ht="12.75" x14ac:dyDescent="0.2">
      <c r="A53" s="47" t="str">
        <f>+IF(AND(DATE(YEAR($K$8),12,31)&gt;=$K$8,DATE(YEAR($K$8),12,1)&lt;=$M$5,$I$4&lt;=DATE(YEAR($K$8),12,31)),DATE(YEAR($K$8),12,1),"Hors période")</f>
        <v>Hors période</v>
      </c>
      <c r="B53" s="73"/>
      <c r="C53" s="73"/>
      <c r="D53" s="48">
        <f t="shared" si="0"/>
        <v>0</v>
      </c>
      <c r="E53" s="76"/>
      <c r="F53" s="49"/>
      <c r="H53" s="71" t="s">
        <v>35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9" customFormat="1" ht="12.75" x14ac:dyDescent="0.2">
      <c r="A54" s="47" t="str">
        <f>+IF(AND(DATE(YEAR($K$8)+1,1,31)&gt;=$K$8,DATE(YEAR($K$8)+1,1,1)&lt;=$M$5,$I$4&lt;=DATE(YEAR($K$8)+1,1,31)),DATE(YEAR($K$8)+1,1,1),"Hors période")</f>
        <v>Hors période</v>
      </c>
      <c r="B54" s="73"/>
      <c r="C54" s="73"/>
      <c r="D54" s="48">
        <f t="shared" si="0"/>
        <v>0</v>
      </c>
      <c r="E54" s="76"/>
      <c r="F54" s="49"/>
      <c r="H54" s="71" t="s">
        <v>36</v>
      </c>
      <c r="I54" s="20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9" customFormat="1" x14ac:dyDescent="0.25">
      <c r="A55" s="47" t="str">
        <f>+IF(AND(DATE(YEAR($K$8)+1,2,29)&gt;=$K$8,DATE(YEAR($K$8)+1,2,1)&lt;=$M$5,$I$4&lt;=DATE(YEAR($K$8)+1,2,29)),DATE(YEAR($K$8)+1,2,1),"Hors période")</f>
        <v>Hors période</v>
      </c>
      <c r="B55" s="73"/>
      <c r="C55" s="73"/>
      <c r="D55" s="48">
        <f t="shared" si="0"/>
        <v>0</v>
      </c>
      <c r="E55" s="76"/>
      <c r="F55" s="49"/>
      <c r="H55" s="2"/>
      <c r="I55" s="72" t="str">
        <f>+ROUND((D59+D61),2)&amp;" / "&amp;D37&amp;" X "&amp;F32</f>
        <v>0 / 0 X 0</v>
      </c>
      <c r="J55" s="71" t="str">
        <f>"= "&amp;IF(D37,ROUND((D59+D61)/D37*F32,2),0)</f>
        <v>= 0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9" customFormat="1" x14ac:dyDescent="0.25">
      <c r="A56" s="47" t="str">
        <f>+IF(AND(DATE(YEAR($K$8)+1,3,31)&gt;=$K$8,DATE(YEAR($K$8)+1,3,1)&lt;=$M$5,$I$4&lt;=DATE(YEAR($K$8)+1,3,31)),DATE(YEAR($K$8)+1,3,1),"Hors période")</f>
        <v>Hors période</v>
      </c>
      <c r="B56" s="73"/>
      <c r="C56" s="73"/>
      <c r="D56" s="48">
        <f t="shared" si="0"/>
        <v>0</v>
      </c>
      <c r="E56" s="76"/>
      <c r="F56" s="49"/>
      <c r="H56" s="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9" customFormat="1" ht="12.75" x14ac:dyDescent="0.2">
      <c r="A57" s="47" t="str">
        <f>+IF(AND(DATE(YEAR($K$8)+1,4,30)&gt;=$K$8,DATE(YEAR($K$8)+1,4,1)&lt;=$M$5,$I$4&lt;=DATE(YEAR($K$8)+1,4,30)),DATE(YEAR($K$8)+1,4,1),"Hors période")</f>
        <v>Hors période</v>
      </c>
      <c r="B57" s="73"/>
      <c r="C57" s="73"/>
      <c r="D57" s="48">
        <f t="shared" si="0"/>
        <v>0</v>
      </c>
      <c r="E57" s="76"/>
      <c r="F57" s="49"/>
      <c r="H57" s="71" t="str">
        <f>"Soit  un montant total de "&amp;ROUND((D59+D61),2)&amp;" euros"&amp;" + "&amp;ROUND(D63,2)&amp;" euros = "&amp;ROUND(D65,2)&amp;" euros"</f>
        <v>Soit  un montant total de 0 euros + 0 euros = 0 euros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9" customFormat="1" ht="12.75" x14ac:dyDescent="0.2">
      <c r="A58" s="47" t="str">
        <f>+IF(AND(DATE(YEAR($K$8)+1,5,31)&gt;=$K$8,DATE(YEAR($K$8)+1,5,1)&lt;=$M$5,$I$4&lt;=DATE(YEAR($K$8)+1,5,31)),DATE(YEAR($K$8)+1,5,1),"Hors période")</f>
        <v>Hors période</v>
      </c>
      <c r="B58" s="73"/>
      <c r="C58" s="73"/>
      <c r="D58" s="48">
        <f t="shared" si="0"/>
        <v>0</v>
      </c>
      <c r="E58" s="76"/>
      <c r="F58" s="49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9" customFormat="1" ht="12.75" x14ac:dyDescent="0.2">
      <c r="C59" s="20" t="s">
        <v>17</v>
      </c>
      <c r="D59" s="51">
        <f>ROUND(SUM(D47:D58),2)</f>
        <v>0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9" customFormat="1" ht="12.75" x14ac:dyDescent="0.2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9" customFormat="1" ht="12.75" x14ac:dyDescent="0.2">
      <c r="A61" s="171" t="s">
        <v>53</v>
      </c>
      <c r="B61" s="171"/>
      <c r="C61" s="171"/>
      <c r="D61" s="75">
        <f>+D15*0.1</f>
        <v>0</v>
      </c>
      <c r="F61" s="74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9" customFormat="1" ht="12.75" x14ac:dyDescent="0.2">
      <c r="E62" s="20"/>
      <c r="F62" s="23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9" customFormat="1" ht="12.75" x14ac:dyDescent="0.2">
      <c r="C63" s="20" t="s">
        <v>37</v>
      </c>
      <c r="D63" s="52">
        <f>IF(D37,(+D59+D61)/D37*F32,0)</f>
        <v>0</v>
      </c>
      <c r="F63" s="23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9" customFormat="1" ht="12.75" x14ac:dyDescent="0.2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9" customFormat="1" ht="12.75" x14ac:dyDescent="0.2">
      <c r="A65" s="166" t="s">
        <v>25</v>
      </c>
      <c r="B65" s="166"/>
      <c r="C65" s="166"/>
      <c r="D65" s="61">
        <f>ROUND(SUM(D47:D58)+D61+D63,2)</f>
        <v>0</v>
      </c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9" customFormat="1" ht="13.5" thickBot="1" x14ac:dyDescent="0.25"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9" customFormat="1" ht="13.5" thickBot="1" x14ac:dyDescent="0.25">
      <c r="A67" s="167" t="s">
        <v>26</v>
      </c>
      <c r="B67" s="168"/>
      <c r="C67" s="168"/>
      <c r="D67" s="168"/>
      <c r="E67" s="168"/>
      <c r="F67" s="169"/>
      <c r="G67" s="62">
        <f>+IF(D65&gt;D41,D65,D41)</f>
        <v>0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9" customFormat="1" ht="13.5" thickBot="1" x14ac:dyDescent="0.25">
      <c r="A68" s="151"/>
      <c r="B68" s="152"/>
      <c r="C68" s="152"/>
      <c r="D68" s="152"/>
      <c r="E68" s="152"/>
      <c r="F68" s="153"/>
      <c r="G68" s="53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9" customFormat="1" ht="12.75" x14ac:dyDescent="0.2"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9" customFormat="1" ht="12.75" x14ac:dyDescent="0.2"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9" customFormat="1" ht="12.75" x14ac:dyDescent="0.2">
      <c r="A71" s="9"/>
      <c r="B71" s="9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9" customFormat="1" ht="12.75" x14ac:dyDescent="0.2">
      <c r="A72" s="9"/>
      <c r="B72" s="9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9" customFormat="1" ht="12.75" x14ac:dyDescent="0.2">
      <c r="C73" s="21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9" customFormat="1" ht="12.75" x14ac:dyDescent="0.2">
      <c r="A74" s="68"/>
      <c r="B74" s="69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9" customFormat="1" ht="12.75" x14ac:dyDescent="0.2">
      <c r="A75" s="68"/>
      <c r="B75" s="69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9" customFormat="1" ht="12.75" x14ac:dyDescent="0.2">
      <c r="A76" s="68"/>
      <c r="B76" s="69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9" customFormat="1" ht="12.75" x14ac:dyDescent="0.2">
      <c r="A77" s="68"/>
      <c r="B77" s="69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9" customFormat="1" ht="12.75" x14ac:dyDescent="0.2">
      <c r="A78" s="68"/>
      <c r="B78" s="69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9" customFormat="1" ht="12.75" x14ac:dyDescent="0.2">
      <c r="A79" s="68"/>
      <c r="B79" s="69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9" customFormat="1" ht="12.75" x14ac:dyDescent="0.2">
      <c r="A80" s="68"/>
      <c r="B80" s="69"/>
      <c r="E80" s="23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9" customFormat="1" ht="12.75" x14ac:dyDescent="0.2">
      <c r="A81" s="68"/>
      <c r="B81" s="69"/>
      <c r="E81" s="23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9" customFormat="1" ht="12.75" x14ac:dyDescent="0.2">
      <c r="A82" s="68"/>
      <c r="B82" s="69"/>
      <c r="E82" s="23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9" customFormat="1" ht="12.75" x14ac:dyDescent="0.2">
      <c r="A83" s="68"/>
      <c r="B83" s="69"/>
      <c r="E83" s="23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9" customFormat="1" ht="12.75" x14ac:dyDescent="0.2">
      <c r="A84" s="68"/>
      <c r="B84" s="69"/>
      <c r="E84" s="23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9" customFormat="1" ht="12.75" x14ac:dyDescent="0.2">
      <c r="A85" s="68"/>
      <c r="B85" s="69"/>
      <c r="E85" s="23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9" customFormat="1" ht="12.75" x14ac:dyDescent="0.2"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9" customFormat="1" ht="12.75" x14ac:dyDescent="0.2">
      <c r="C87" s="20"/>
      <c r="D87" s="57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9" customFormat="1" ht="12.75" x14ac:dyDescent="0.2"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9" customFormat="1" ht="12.75" x14ac:dyDescent="0.2">
      <c r="C89" s="20"/>
      <c r="D89" s="57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9" customFormat="1" ht="12.75" x14ac:dyDescent="0.2"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9" customFormat="1" ht="12.75" x14ac:dyDescent="0.2">
      <c r="C91" s="20"/>
      <c r="D91" s="70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9" customFormat="1" ht="12.75" x14ac:dyDescent="0.2"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9" customFormat="1" ht="12.75" x14ac:dyDescent="0.2"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9" customFormat="1" ht="12.75" x14ac:dyDescent="0.2"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9" customFormat="1" ht="12.75" x14ac:dyDescent="0.2"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9" customFormat="1" ht="12.75" x14ac:dyDescent="0.2"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5:26" s="19" customFormat="1" ht="12.75" x14ac:dyDescent="0.2"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5:26" s="19" customFormat="1" ht="12.75" x14ac:dyDescent="0.2"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5:26" s="19" customFormat="1" ht="12.75" x14ac:dyDescent="0.2"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5:26" s="19" customFormat="1" ht="12.75" x14ac:dyDescent="0.2"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5:26" s="19" customFormat="1" ht="12.75" x14ac:dyDescent="0.2"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5:26" s="19" customFormat="1" ht="12.75" x14ac:dyDescent="0.2"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5:26" s="19" customFormat="1" ht="12.75" x14ac:dyDescent="0.2"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5:26" s="19" customFormat="1" ht="12.75" x14ac:dyDescent="0.2"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5:26" s="19" customFormat="1" ht="12.75" x14ac:dyDescent="0.2"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5:26" s="19" customFormat="1" ht="12.75" x14ac:dyDescent="0.2"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5:26" s="19" customFormat="1" ht="12.75" x14ac:dyDescent="0.2"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5:26" s="19" customFormat="1" ht="12.75" x14ac:dyDescent="0.2"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5:26" s="19" customFormat="1" ht="12.75" x14ac:dyDescent="0.2"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5:26" s="19" customFormat="1" ht="12.75" x14ac:dyDescent="0.2"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5:26" s="19" customFormat="1" ht="12.75" x14ac:dyDescent="0.2"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5:26" s="19" customFormat="1" ht="12.75" x14ac:dyDescent="0.2"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5:26" s="19" customFormat="1" ht="12.75" x14ac:dyDescent="0.2"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5:26" s="19" customFormat="1" ht="12.75" x14ac:dyDescent="0.2"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5:26" s="19" customFormat="1" ht="12.75" x14ac:dyDescent="0.2"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5:26" s="19" customFormat="1" ht="12.75" x14ac:dyDescent="0.2"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5:26" s="19" customFormat="1" ht="12.75" x14ac:dyDescent="0.2"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5:26" s="19" customFormat="1" ht="12.75" x14ac:dyDescent="0.2"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5:26" s="19" customFormat="1" ht="12.75" x14ac:dyDescent="0.2"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5:26" s="19" customFormat="1" ht="12.75" x14ac:dyDescent="0.2"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5:26" s="19" customFormat="1" ht="12.75" x14ac:dyDescent="0.2"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5:26" s="19" customFormat="1" ht="12.75" x14ac:dyDescent="0.2"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5:26" s="19" customFormat="1" ht="12.75" x14ac:dyDescent="0.2"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5:26" s="19" customFormat="1" ht="12.75" x14ac:dyDescent="0.2"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5:26" s="19" customFormat="1" ht="12.75" x14ac:dyDescent="0.2"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5:26" s="19" customFormat="1" ht="12.75" x14ac:dyDescent="0.2"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5:26" s="19" customFormat="1" ht="12.75" x14ac:dyDescent="0.2"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5:26" s="19" customFormat="1" ht="12.75" x14ac:dyDescent="0.2"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5:26" s="19" customFormat="1" ht="12.75" x14ac:dyDescent="0.2"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5:26" s="19" customFormat="1" ht="12.75" x14ac:dyDescent="0.2"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5:26" s="19" customFormat="1" ht="12.75" x14ac:dyDescent="0.2"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5:26" s="19" customFormat="1" ht="12.75" x14ac:dyDescent="0.2"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5:26" s="19" customFormat="1" ht="12.75" x14ac:dyDescent="0.2"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5:26" s="19" customFormat="1" ht="12.75" x14ac:dyDescent="0.2"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5:26" s="19" customFormat="1" ht="12.75" x14ac:dyDescent="0.2"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5:26" s="19" customFormat="1" ht="12.75" x14ac:dyDescent="0.2"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5:26" s="19" customFormat="1" ht="12.75" x14ac:dyDescent="0.2"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5:26" s="19" customFormat="1" ht="12.75" x14ac:dyDescent="0.2"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5:26" s="19" customFormat="1" ht="12.75" x14ac:dyDescent="0.2"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5:26" s="19" customFormat="1" ht="12.75" x14ac:dyDescent="0.2"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5:26" s="19" customFormat="1" ht="12.75" x14ac:dyDescent="0.2"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5:26" s="19" customFormat="1" ht="12.75" x14ac:dyDescent="0.2"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5:26" s="19" customFormat="1" ht="12.75" x14ac:dyDescent="0.2"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5:26" s="19" customFormat="1" ht="12.75" x14ac:dyDescent="0.2"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5:26" s="19" customFormat="1" ht="12.75" x14ac:dyDescent="0.2"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5:26" s="19" customFormat="1" ht="12.75" x14ac:dyDescent="0.2"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5:26" s="19" customFormat="1" ht="12.75" x14ac:dyDescent="0.2"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5:26" s="19" customFormat="1" ht="12.75" x14ac:dyDescent="0.2"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5:26" s="19" customFormat="1" ht="12.75" x14ac:dyDescent="0.2"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5:26" s="19" customFormat="1" ht="12.75" x14ac:dyDescent="0.2"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5:26" s="19" customFormat="1" ht="12.75" x14ac:dyDescent="0.2"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5:26" s="19" customFormat="1" ht="12.75" x14ac:dyDescent="0.2"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5:26" s="19" customFormat="1" ht="12.75" x14ac:dyDescent="0.2"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5:26" s="19" customFormat="1" ht="12.75" x14ac:dyDescent="0.2"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5:26" s="19" customFormat="1" ht="12.75" x14ac:dyDescent="0.2"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5:26" s="19" customFormat="1" ht="12.75" x14ac:dyDescent="0.2"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5:26" s="19" customFormat="1" ht="12.75" x14ac:dyDescent="0.2"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5:26" s="19" customFormat="1" ht="12.75" x14ac:dyDescent="0.2"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5:26" s="19" customFormat="1" ht="12.75" x14ac:dyDescent="0.2"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5:26" s="19" customFormat="1" ht="12.75" x14ac:dyDescent="0.2"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5:26" s="19" customFormat="1" ht="12.75" x14ac:dyDescent="0.2"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5:26" s="19" customFormat="1" ht="12.75" x14ac:dyDescent="0.2"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5:26" s="19" customFormat="1" ht="12.75" x14ac:dyDescent="0.2"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5:26" s="19" customFormat="1" ht="12.75" x14ac:dyDescent="0.2"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5:26" s="19" customFormat="1" ht="12.75" x14ac:dyDescent="0.2"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5:26" s="19" customFormat="1" ht="12.75" x14ac:dyDescent="0.2"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5:26" s="19" customFormat="1" ht="12.75" x14ac:dyDescent="0.2"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5:26" s="19" customFormat="1" ht="12.75" x14ac:dyDescent="0.2"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5:26" s="19" customFormat="1" ht="12.75" x14ac:dyDescent="0.2"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5:26" s="19" customFormat="1" ht="12.75" x14ac:dyDescent="0.2"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5:26" s="19" customFormat="1" ht="12.75" x14ac:dyDescent="0.2"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5:26" s="19" customFormat="1" ht="12.75" x14ac:dyDescent="0.2"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5:26" s="19" customFormat="1" ht="12.75" x14ac:dyDescent="0.2"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5:26" s="19" customFormat="1" ht="12.75" x14ac:dyDescent="0.2"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5:26" s="19" customFormat="1" ht="12.75" x14ac:dyDescent="0.2"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5:26" s="19" customFormat="1" ht="12.75" x14ac:dyDescent="0.2"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5:26" s="19" customFormat="1" ht="12.75" x14ac:dyDescent="0.2"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5:26" s="19" customFormat="1" ht="12.75" x14ac:dyDescent="0.2"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5:26" s="19" customFormat="1" ht="12.75" x14ac:dyDescent="0.2"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5:26" s="19" customFormat="1" ht="12.75" x14ac:dyDescent="0.2"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5:26" s="19" customFormat="1" ht="12.75" x14ac:dyDescent="0.2"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5:26" s="19" customFormat="1" ht="12.75" x14ac:dyDescent="0.2"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5:26" s="19" customFormat="1" ht="12.75" x14ac:dyDescent="0.2"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5:26" s="19" customFormat="1" ht="12.75" x14ac:dyDescent="0.2"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5:26" s="19" customFormat="1" ht="12.75" x14ac:dyDescent="0.2"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5:26" s="19" customFormat="1" ht="12.75" x14ac:dyDescent="0.2"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5:26" s="19" customFormat="1" ht="12.75" x14ac:dyDescent="0.2"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5:26" s="19" customFormat="1" ht="12.75" x14ac:dyDescent="0.2"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5:26" s="19" customFormat="1" ht="12.75" x14ac:dyDescent="0.2"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5:26" s="19" customFormat="1" ht="12.75" x14ac:dyDescent="0.2"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5:26" s="19" customFormat="1" ht="12.75" x14ac:dyDescent="0.2"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5:26" s="19" customFormat="1" ht="12.75" x14ac:dyDescent="0.2"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5:26" s="19" customFormat="1" ht="12.75" x14ac:dyDescent="0.2"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5:26" s="19" customFormat="1" ht="12.75" x14ac:dyDescent="0.2"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5:26" s="19" customFormat="1" ht="12.75" x14ac:dyDescent="0.2"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5:26" s="19" customFormat="1" ht="12.75" x14ac:dyDescent="0.2"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5:26" s="19" customFormat="1" ht="12.75" x14ac:dyDescent="0.2"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5:26" s="19" customFormat="1" ht="12.75" x14ac:dyDescent="0.2"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5:26" s="19" customFormat="1" ht="12.75" x14ac:dyDescent="0.2"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5:26" s="19" customFormat="1" ht="12.75" x14ac:dyDescent="0.2"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5:26" s="19" customFormat="1" ht="12.75" x14ac:dyDescent="0.2"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5:26" s="19" customFormat="1" ht="12.75" x14ac:dyDescent="0.2"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5:26" s="19" customFormat="1" ht="12.75" x14ac:dyDescent="0.2"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5:26" s="19" customFormat="1" ht="12.75" x14ac:dyDescent="0.2"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5:26" s="19" customFormat="1" ht="12.75" x14ac:dyDescent="0.2"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5:26" s="19" customFormat="1" ht="12.75" x14ac:dyDescent="0.2"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5:26" s="19" customFormat="1" ht="12.75" x14ac:dyDescent="0.2"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5:26" s="19" customFormat="1" ht="12.75" x14ac:dyDescent="0.2"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5:26" s="19" customFormat="1" ht="12.75" x14ac:dyDescent="0.2"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5:26" s="19" customFormat="1" ht="12.75" x14ac:dyDescent="0.2"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5:26" s="19" customFormat="1" ht="12.75" x14ac:dyDescent="0.2"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5:26" s="19" customFormat="1" ht="12.75" x14ac:dyDescent="0.2"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5:26" s="19" customFormat="1" ht="12.75" x14ac:dyDescent="0.2"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5:26" s="19" customFormat="1" ht="12.75" x14ac:dyDescent="0.2"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5:26" s="19" customFormat="1" ht="12.75" x14ac:dyDescent="0.2"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5:26" s="19" customFormat="1" ht="12.75" x14ac:dyDescent="0.2"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5:26" s="19" customFormat="1" ht="12.75" x14ac:dyDescent="0.2"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5:26" s="19" customFormat="1" ht="12.75" x14ac:dyDescent="0.2"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5:26" s="19" customFormat="1" ht="12.75" x14ac:dyDescent="0.2"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5:26" s="19" customFormat="1" ht="12.75" x14ac:dyDescent="0.2"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5:26" s="19" customFormat="1" ht="12.75" x14ac:dyDescent="0.2"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5:26" s="19" customFormat="1" ht="12.75" x14ac:dyDescent="0.2"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5:26" s="19" customFormat="1" ht="12.75" x14ac:dyDescent="0.2"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5:26" s="19" customFormat="1" ht="12.75" x14ac:dyDescent="0.2"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5:26" s="19" customFormat="1" ht="12.75" x14ac:dyDescent="0.2"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5:26" s="19" customFormat="1" ht="12.75" x14ac:dyDescent="0.2"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5:26" s="19" customFormat="1" ht="12.75" x14ac:dyDescent="0.2"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5:26" s="19" customFormat="1" ht="12.75" x14ac:dyDescent="0.2"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5:26" s="19" customFormat="1" ht="12.75" x14ac:dyDescent="0.2"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5:26" s="19" customFormat="1" ht="12.75" x14ac:dyDescent="0.2"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5:26" s="19" customFormat="1" ht="12.75" x14ac:dyDescent="0.2"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5:26" s="19" customFormat="1" ht="12.75" x14ac:dyDescent="0.2"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5:26" s="19" customFormat="1" ht="12.75" x14ac:dyDescent="0.2"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5:26" s="19" customFormat="1" ht="12.75" x14ac:dyDescent="0.2"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5:26" s="19" customFormat="1" ht="12.75" x14ac:dyDescent="0.2"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5:26" s="19" customFormat="1" ht="12.75" x14ac:dyDescent="0.2"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5:26" s="19" customFormat="1" ht="12.75" x14ac:dyDescent="0.2"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5:26" s="19" customFormat="1" ht="12.75" x14ac:dyDescent="0.2"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5:26" s="19" customFormat="1" ht="12.75" x14ac:dyDescent="0.2"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5:26" s="19" customFormat="1" ht="12.75" x14ac:dyDescent="0.2"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8:26" s="19" customFormat="1" ht="12.75" x14ac:dyDescent="0.2"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8:26" s="19" customFormat="1" ht="12.75" x14ac:dyDescent="0.2"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8:26" s="19" customFormat="1" ht="12.75" x14ac:dyDescent="0.2"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8:26" s="19" customFormat="1" ht="12.75" x14ac:dyDescent="0.2"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8:26" s="19" customFormat="1" ht="12.75" x14ac:dyDescent="0.2"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8:26" s="19" customFormat="1" ht="12.75" x14ac:dyDescent="0.2"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8:26" s="19" customFormat="1" ht="12.75" x14ac:dyDescent="0.2"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8:26" s="19" customFormat="1" ht="12.75" x14ac:dyDescent="0.2"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8:26" s="19" customFormat="1" ht="12.75" x14ac:dyDescent="0.2"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8:26" s="19" customFormat="1" ht="12.75" x14ac:dyDescent="0.2"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8:26" s="19" customFormat="1" ht="12.75" x14ac:dyDescent="0.2"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8:26" s="19" customFormat="1" ht="12.75" x14ac:dyDescent="0.2"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8:26" s="19" customFormat="1" x14ac:dyDescent="0.25">
      <c r="H253" s="2"/>
      <c r="I253" s="2"/>
      <c r="J253" s="2"/>
      <c r="K253" s="2"/>
      <c r="L253" s="2"/>
      <c r="M253" s="2"/>
      <c r="N253" s="2"/>
      <c r="O253" s="11"/>
      <c r="P253" s="11"/>
      <c r="Q253" s="11"/>
      <c r="R253" s="11"/>
      <c r="S253" s="11"/>
      <c r="T253" s="11"/>
      <c r="U253" s="12"/>
      <c r="V253" s="12"/>
      <c r="W253" s="12"/>
      <c r="X253" s="12"/>
      <c r="Y253" s="12"/>
      <c r="Z253" s="12"/>
    </row>
  </sheetData>
  <sheetProtection algorithmName="SHA-512" hashValue="AoPD7V6d5H4AxZTR1jSby6VN0yCydZpj5k1vJsXq4jyRLdPrPZzP80JV/Dlos69dnbxSFTqPreyA1g+Sbe26HA==" saltValue="FxywfXK82wk7Gg+X8i+5/A==" spinCount="100000" sheet="1" formatCells="0" formatColumns="0" formatRows="0" insertColumns="0" insertRows="0" sort="0" autoFilter="0" pivotTables="0"/>
  <mergeCells count="14">
    <mergeCell ref="B1:I1"/>
    <mergeCell ref="A15:C16"/>
    <mergeCell ref="A18:C19"/>
    <mergeCell ref="A68:F68"/>
    <mergeCell ref="B4:D4"/>
    <mergeCell ref="B5:D5"/>
    <mergeCell ref="H12:I12"/>
    <mergeCell ref="H13:I13"/>
    <mergeCell ref="A33:C33"/>
    <mergeCell ref="A41:C41"/>
    <mergeCell ref="A65:C65"/>
    <mergeCell ref="A67:F67"/>
    <mergeCell ref="C2:I2"/>
    <mergeCell ref="A61:C61"/>
  </mergeCells>
  <conditionalFormatting sqref="A15:C19">
    <cfRule type="expression" dxfId="68" priority="32">
      <formula>$T$15="OUI"</formula>
    </cfRule>
  </conditionalFormatting>
  <conditionalFormatting sqref="A61:D61">
    <cfRule type="expression" dxfId="67" priority="18">
      <formula>$T$15="OUI"</formula>
    </cfRule>
  </conditionalFormatting>
  <conditionalFormatting sqref="B47:C58">
    <cfRule type="notContainsBlanks" dxfId="66" priority="2">
      <formula>LEN(TRIM(B47))&gt;0</formula>
    </cfRule>
  </conditionalFormatting>
  <conditionalFormatting sqref="B4:D4">
    <cfRule type="expression" dxfId="65" priority="1">
      <formula>OR($I$4="",$I$8="")</formula>
    </cfRule>
  </conditionalFormatting>
  <conditionalFormatting sqref="B5:D5">
    <cfRule type="notContainsBlanks" dxfId="64" priority="33">
      <formula>LEN(TRIM(B5))&gt;0</formula>
    </cfRule>
  </conditionalFormatting>
  <conditionalFormatting sqref="D7">
    <cfRule type="notContainsBlanks" dxfId="63" priority="11">
      <formula>LEN(TRIM(D7))&gt;0</formula>
    </cfRule>
  </conditionalFormatting>
  <conditionalFormatting sqref="D9">
    <cfRule type="notContainsBlanks" dxfId="62" priority="10">
      <formula>LEN(TRIM(D9))&gt;0</formula>
    </cfRule>
  </conditionalFormatting>
  <conditionalFormatting sqref="D11">
    <cfRule type="notContainsBlanks" dxfId="61" priority="9">
      <formula>LEN(TRIM(D11))&gt;0</formula>
    </cfRule>
  </conditionalFormatting>
  <conditionalFormatting sqref="D15">
    <cfRule type="notContainsBlanks" dxfId="60" priority="8">
      <formula>LEN(TRIM(D15))&gt;0</formula>
    </cfRule>
  </conditionalFormatting>
  <conditionalFormatting sqref="D18">
    <cfRule type="notContainsBlanks" dxfId="59" priority="7">
      <formula>LEN(TRIM(D18))&gt;0</formula>
    </cfRule>
  </conditionalFormatting>
  <conditionalFormatting sqref="D32">
    <cfRule type="notContainsBlanks" dxfId="58" priority="4">
      <formula>LEN(TRIM(D32))&gt;0</formula>
    </cfRule>
  </conditionalFormatting>
  <conditionalFormatting sqref="F24">
    <cfRule type="notContainsBlanks" dxfId="57" priority="6">
      <formula>LEN(TRIM(F24))&gt;0</formula>
    </cfRule>
  </conditionalFormatting>
  <conditionalFormatting sqref="F29">
    <cfRule type="notContainsBlanks" dxfId="56" priority="5">
      <formula>LEN(TRIM(F29))&gt;0</formula>
    </cfRule>
  </conditionalFormatting>
  <conditionalFormatting sqref="H49:H57">
    <cfRule type="expression" dxfId="55" priority="17">
      <formula>$T$15="OUI"</formula>
    </cfRule>
  </conditionalFormatting>
  <conditionalFormatting sqref="I4">
    <cfRule type="notContainsBlanks" dxfId="54" priority="13">
      <formula>LEN(TRIM(I4))&gt;0</formula>
    </cfRule>
  </conditionalFormatting>
  <conditionalFormatting sqref="I8">
    <cfRule type="notContainsBlanks" dxfId="53" priority="12">
      <formula>LEN(TRIM(I8))&gt;0</formula>
    </cfRule>
  </conditionalFormatting>
  <conditionalFormatting sqref="I55:J55">
    <cfRule type="expression" dxfId="52" priority="15">
      <formula>$T$15="OUI"</formula>
    </cfRule>
  </conditionalFormatting>
  <dataValidations count="1">
    <dataValidation type="list" allowBlank="1" showInputMessage="1" showErrorMessage="1" sqref="M2" xr:uid="{CB11B6A6-CB14-4352-8783-13969F8A0F36}">
      <formula1>"BRUT,NET"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1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99"/>
    <pageSetUpPr fitToPage="1"/>
  </sheetPr>
  <dimension ref="A1:AA220"/>
  <sheetViews>
    <sheetView showGridLines="0" zoomScale="90" zoomScaleNormal="90" workbookViewId="0">
      <selection activeCell="F17" sqref="F17"/>
    </sheetView>
  </sheetViews>
  <sheetFormatPr baseColWidth="10" defaultRowHeight="15" x14ac:dyDescent="0.25"/>
  <cols>
    <col min="1" max="1" width="23.7109375" style="2" customWidth="1"/>
    <col min="2" max="2" width="13.28515625" style="2" customWidth="1"/>
    <col min="3" max="3" width="14.42578125" style="2" customWidth="1"/>
    <col min="4" max="4" width="12.28515625" style="2" customWidth="1"/>
    <col min="5" max="5" width="12.5703125" style="2" customWidth="1"/>
    <col min="6" max="7" width="11.42578125" style="2"/>
    <col min="8" max="8" width="13.28515625" style="2" customWidth="1"/>
    <col min="9" max="9" width="16" style="2" customWidth="1"/>
    <col min="10" max="10" width="11.42578125" style="2"/>
    <col min="11" max="11" width="18.7109375" style="2" customWidth="1"/>
    <col min="12" max="16384" width="11.42578125" style="2"/>
  </cols>
  <sheetData>
    <row r="1" spans="1:13" ht="23.25" x14ac:dyDescent="0.35">
      <c r="B1" s="1" t="s">
        <v>39</v>
      </c>
    </row>
    <row r="2" spans="1:13" ht="18" x14ac:dyDescent="0.25">
      <c r="C2" s="170" t="s">
        <v>97</v>
      </c>
      <c r="D2" s="170"/>
      <c r="E2" s="170"/>
      <c r="F2" s="170"/>
      <c r="G2" s="170"/>
      <c r="H2" s="170"/>
      <c r="I2" s="170"/>
      <c r="J2" s="90" t="s">
        <v>56</v>
      </c>
    </row>
    <row r="3" spans="1:13" s="19" customFormat="1" ht="15.75" x14ac:dyDescent="0.25">
      <c r="C3" s="18"/>
      <c r="D3" s="21"/>
      <c r="E3" s="21"/>
      <c r="F3" s="21"/>
      <c r="G3" s="21"/>
      <c r="H3" s="21"/>
      <c r="J3" s="17"/>
      <c r="L3" s="86" t="s">
        <v>58</v>
      </c>
      <c r="M3" s="85" t="s">
        <v>57</v>
      </c>
    </row>
    <row r="4" spans="1:13" s="19" customFormat="1" ht="12.75" x14ac:dyDescent="0.2">
      <c r="A4" s="19" t="s">
        <v>6</v>
      </c>
      <c r="B4" s="154" t="str">
        <f>+"Du "&amp;TEXT(L6,"jj/mm/aaaa")&amp;" au "&amp;TEXT(M6,"jj/mm/aaaa")</f>
        <v>Du 01/06/3799 au 00/01/1900</v>
      </c>
      <c r="C4" s="154"/>
      <c r="D4" s="154"/>
      <c r="H4" s="20" t="s">
        <v>0</v>
      </c>
      <c r="I4" s="95"/>
      <c r="J4" s="17"/>
      <c r="K4" s="77"/>
      <c r="L4" s="77"/>
      <c r="M4" s="3">
        <f>+DATE(YEAR(M6),6,1)</f>
        <v>153</v>
      </c>
    </row>
    <row r="5" spans="1:13" s="19" customFormat="1" ht="12.75" x14ac:dyDescent="0.2">
      <c r="A5" s="19" t="s">
        <v>7</v>
      </c>
      <c r="B5" s="173"/>
      <c r="C5" s="174"/>
      <c r="D5" s="175"/>
      <c r="J5" s="17"/>
      <c r="K5" s="77" t="s">
        <v>1</v>
      </c>
      <c r="L5" s="78" t="s">
        <v>2</v>
      </c>
      <c r="M5" s="78" t="s">
        <v>3</v>
      </c>
    </row>
    <row r="6" spans="1:13" s="19" customFormat="1" ht="12.75" x14ac:dyDescent="0.2">
      <c r="E6" s="21"/>
      <c r="H6" s="20" t="s">
        <v>40</v>
      </c>
      <c r="I6" s="95"/>
      <c r="J6" s="17"/>
      <c r="K6" s="77">
        <v>1</v>
      </c>
      <c r="L6" s="3">
        <f>+IF(AND(M6&lt;M4,I4&lt;=DATE(YEAR(M4)-1,6,1)),DATE(YEAR(M4)-1,6,1),IF(AND(M6&lt;M4,I4&gt;=DATE(YEAR(M4)-1,6,1)),I4,IF(I4&gt;M4,I4,M4)))</f>
        <v>693749</v>
      </c>
      <c r="M6" s="3">
        <f>+I6</f>
        <v>0</v>
      </c>
    </row>
    <row r="7" spans="1:13" s="19" customFormat="1" ht="12.75" x14ac:dyDescent="0.2">
      <c r="C7" s="20" t="str">
        <f>+IF(M3="Brut","Salaire mensualisé brut :","Salaire mensualisé net :")</f>
        <v>Salaire mensualisé brut :</v>
      </c>
      <c r="D7" s="73"/>
      <c r="E7" s="23"/>
      <c r="J7" s="17"/>
      <c r="K7" s="77"/>
      <c r="L7" s="3">
        <f>+IF(AND(I4&gt;=DATE(YEAR(L6)-1,6,1),M7&lt;&gt;""),I4,IF(M7="","",DATE(YEAR(L6)-1,6,1)))</f>
        <v>693384</v>
      </c>
      <c r="M7" s="3">
        <f>+IF(AND(I4&lt;DATE(YEAR(L6),5,31),L6&lt;&gt;I4),DATE(YEAR(L6),5,31),"")</f>
        <v>693748</v>
      </c>
    </row>
    <row r="8" spans="1:13" s="19" customFormat="1" ht="12.75" x14ac:dyDescent="0.2">
      <c r="C8" s="20"/>
      <c r="H8" s="20"/>
      <c r="I8" s="22"/>
      <c r="J8" s="17"/>
      <c r="K8" s="77"/>
      <c r="L8" s="77"/>
      <c r="M8" s="77"/>
    </row>
    <row r="9" spans="1:13" s="19" customFormat="1" ht="13.5" thickBot="1" x14ac:dyDescent="0.25">
      <c r="C9" s="20" t="str">
        <f>+IF(M3="Brut","Taux horaire brut :","Taux horaire net :")</f>
        <v>Taux horaire brut :</v>
      </c>
      <c r="D9" s="73"/>
      <c r="E9" s="23"/>
      <c r="J9" s="17"/>
      <c r="K9" s="77"/>
      <c r="L9" s="79" t="s">
        <v>5</v>
      </c>
      <c r="M9" s="3">
        <f>DATE(YEAR(I6),MONTH(I6),1)</f>
        <v>1</v>
      </c>
    </row>
    <row r="10" spans="1:13" s="19" customFormat="1" ht="13.5" thickTop="1" x14ac:dyDescent="0.2">
      <c r="C10" s="20"/>
      <c r="H10" s="4" t="s">
        <v>28</v>
      </c>
      <c r="I10" s="24"/>
      <c r="J10" s="24"/>
      <c r="K10" s="24"/>
      <c r="L10" s="24"/>
      <c r="M10" s="25"/>
    </row>
    <row r="11" spans="1:13" s="19" customFormat="1" ht="12.75" x14ac:dyDescent="0.2">
      <c r="C11" s="20" t="s">
        <v>19</v>
      </c>
      <c r="D11" s="97"/>
      <c r="H11" s="27"/>
      <c r="M11" s="28"/>
    </row>
    <row r="12" spans="1:13" s="19" customFormat="1" ht="12.75" x14ac:dyDescent="0.2">
      <c r="H12" s="160" t="str">
        <f>+B4</f>
        <v>Du 01/06/3799 au 00/01/1900</v>
      </c>
      <c r="I12" s="161"/>
      <c r="K12" s="57">
        <f>+G69</f>
        <v>0</v>
      </c>
      <c r="M12" s="28"/>
    </row>
    <row r="13" spans="1:13" s="19" customFormat="1" ht="13.5" thickBot="1" x14ac:dyDescent="0.25">
      <c r="C13" s="20" t="s">
        <v>20</v>
      </c>
      <c r="D13" s="32">
        <f>IF(D11,ROUND(+D7*12/D11,2),0)</f>
        <v>0</v>
      </c>
      <c r="E13" s="30" t="str">
        <f>+IF(M3="Brut","en brut","en net")</f>
        <v>en brut</v>
      </c>
      <c r="H13" s="160"/>
      <c r="I13" s="161"/>
      <c r="K13" s="58"/>
      <c r="M13" s="28"/>
    </row>
    <row r="14" spans="1:13" s="19" customFormat="1" ht="12.75" x14ac:dyDescent="0.2">
      <c r="H14" s="54"/>
      <c r="I14" s="13"/>
      <c r="J14" s="5" t="s">
        <v>41</v>
      </c>
      <c r="K14" s="59">
        <f>+K12</f>
        <v>0</v>
      </c>
      <c r="M14" s="28"/>
    </row>
    <row r="15" spans="1:13" s="19" customFormat="1" ht="12.75" customHeight="1" x14ac:dyDescent="0.2">
      <c r="A15" s="172" t="s">
        <v>49</v>
      </c>
      <c r="B15" s="172"/>
      <c r="C15" s="172"/>
      <c r="D15" s="81">
        <f>+IF(E15="",'CP Année Incomplète au 31-05'!G67,E15)</f>
        <v>0</v>
      </c>
      <c r="E15" s="73"/>
      <c r="F15" s="71"/>
      <c r="H15" s="54"/>
      <c r="I15" s="13"/>
      <c r="J15" s="5"/>
      <c r="K15" s="14"/>
      <c r="M15" s="28"/>
    </row>
    <row r="16" spans="1:13" s="19" customFormat="1" ht="12.75" customHeight="1" x14ac:dyDescent="0.2">
      <c r="A16" s="172"/>
      <c r="B16" s="172"/>
      <c r="C16" s="172"/>
      <c r="D16" s="80"/>
      <c r="E16" s="71" t="str">
        <f>+IF(M3="Brut","en brut","en net")</f>
        <v>en brut</v>
      </c>
      <c r="F16" s="71"/>
      <c r="H16" s="160" t="str">
        <f>+B74</f>
        <v>Du 01/06/3798 au 31/05/3799</v>
      </c>
      <c r="I16" s="161"/>
      <c r="J16" s="20"/>
      <c r="K16" s="57">
        <f>+F77</f>
        <v>0</v>
      </c>
      <c r="M16" s="28"/>
    </row>
    <row r="17" spans="1:13" s="19" customFormat="1" ht="15.75" thickBot="1" x14ac:dyDescent="0.3">
      <c r="A17" s="2"/>
      <c r="B17" s="2"/>
      <c r="C17" s="2"/>
      <c r="D17" s="71"/>
      <c r="E17" s="71"/>
      <c r="F17" s="71"/>
      <c r="H17" s="160" t="s">
        <v>42</v>
      </c>
      <c r="I17" s="161"/>
      <c r="J17" s="20"/>
      <c r="K17" s="58">
        <f>+B93</f>
        <v>0</v>
      </c>
      <c r="M17" s="28"/>
    </row>
    <row r="18" spans="1:13" s="19" customFormat="1" ht="12.75" customHeight="1" x14ac:dyDescent="0.2">
      <c r="A18" s="172" t="s">
        <v>50</v>
      </c>
      <c r="B18" s="172"/>
      <c r="C18" s="172"/>
      <c r="D18" s="82">
        <f>+IF(E18="",'CP Année Incomplète au 31-05'!F39,E18)</f>
        <v>0</v>
      </c>
      <c r="E18" s="97"/>
      <c r="F18" s="71"/>
      <c r="H18" s="54"/>
      <c r="I18" s="21"/>
      <c r="J18" s="5" t="s">
        <v>43</v>
      </c>
      <c r="K18" s="59">
        <f>+K16-K17</f>
        <v>0</v>
      </c>
      <c r="M18" s="28"/>
    </row>
    <row r="19" spans="1:13" s="19" customFormat="1" ht="12.75" customHeight="1" x14ac:dyDescent="0.2">
      <c r="A19" s="172"/>
      <c r="B19" s="172"/>
      <c r="C19" s="172"/>
      <c r="H19" s="54"/>
      <c r="I19" s="21"/>
      <c r="J19" s="5"/>
      <c r="K19" s="6"/>
      <c r="M19" s="28"/>
    </row>
    <row r="20" spans="1:13" s="19" customFormat="1" ht="12.75" x14ac:dyDescent="0.2">
      <c r="H20" s="54"/>
      <c r="I20" s="21"/>
      <c r="J20" s="5" t="s">
        <v>44</v>
      </c>
      <c r="K20" s="59">
        <f>+K18+K14</f>
        <v>0</v>
      </c>
      <c r="M20" s="28"/>
    </row>
    <row r="21" spans="1:13" s="19" customFormat="1" ht="13.5" thickBot="1" x14ac:dyDescent="0.25">
      <c r="H21" s="33"/>
      <c r="I21" s="34"/>
      <c r="J21" s="35"/>
      <c r="K21" s="36"/>
      <c r="L21" s="34"/>
      <c r="M21" s="37"/>
    </row>
    <row r="22" spans="1:13" s="19" customFormat="1" ht="13.5" thickTop="1" x14ac:dyDescent="0.2"/>
    <row r="23" spans="1:13" s="19" customFormat="1" ht="12.75" x14ac:dyDescent="0.2">
      <c r="A23" s="7" t="s">
        <v>21</v>
      </c>
    </row>
    <row r="24" spans="1:13" s="19" customFormat="1" ht="12.75" x14ac:dyDescent="0.2">
      <c r="A24" s="7"/>
      <c r="H24" s="8"/>
    </row>
    <row r="25" spans="1:13" s="19" customFormat="1" ht="12.75" x14ac:dyDescent="0.2">
      <c r="A25" s="7"/>
      <c r="E25" s="20" t="s">
        <v>31</v>
      </c>
      <c r="F25" s="97"/>
    </row>
    <row r="26" spans="1:13" s="19" customFormat="1" ht="12.75" x14ac:dyDescent="0.2"/>
    <row r="27" spans="1:13" s="19" customFormat="1" ht="12.75" x14ac:dyDescent="0.2">
      <c r="E27" s="72" t="s">
        <v>51</v>
      </c>
      <c r="F27" s="42">
        <f>ROUND(+F25+(D18/6),2)</f>
        <v>0</v>
      </c>
    </row>
    <row r="28" spans="1:13" s="19" customFormat="1" ht="12.75" x14ac:dyDescent="0.2">
      <c r="E28" s="20"/>
      <c r="F28" s="26"/>
    </row>
    <row r="29" spans="1:13" s="19" customFormat="1" ht="12.75" x14ac:dyDescent="0.2">
      <c r="E29" s="20"/>
      <c r="H29" s="8" t="s">
        <v>8</v>
      </c>
    </row>
    <row r="30" spans="1:13" s="19" customFormat="1" ht="12.75" x14ac:dyDescent="0.2">
      <c r="B30" s="77"/>
      <c r="C30" s="77"/>
      <c r="D30" s="77"/>
      <c r="E30" s="16" t="s">
        <v>86</v>
      </c>
      <c r="F30" s="97"/>
      <c r="H30" s="77">
        <f>ROUND(F25/4,4)</f>
        <v>0</v>
      </c>
    </row>
    <row r="31" spans="1:13" s="19" customFormat="1" ht="12.75" x14ac:dyDescent="0.2">
      <c r="E31" s="20"/>
      <c r="F31" s="38"/>
      <c r="H31" s="71" t="str">
        <f>+"L'AM a travaillé "&amp;F25&amp;" semaines sur la période de référence (1er juin au 31 mai)"</f>
        <v>L'AM a travaillé  semaines sur la période de référence (1er juin au 31 mai)</v>
      </c>
    </row>
    <row r="32" spans="1:13" s="19" customFormat="1" ht="12.75" x14ac:dyDescent="0.2">
      <c r="D32" s="55"/>
      <c r="H32" s="71" t="s">
        <v>55</v>
      </c>
    </row>
    <row r="33" spans="1:8" s="19" customFormat="1" ht="12.75" x14ac:dyDescent="0.2">
      <c r="C33" s="20" t="s">
        <v>45</v>
      </c>
      <c r="D33" s="97"/>
      <c r="E33" s="19" t="s">
        <v>10</v>
      </c>
      <c r="F33" s="42">
        <f>IF(ROUND(+(MIN(F40,30)-D38),0)&lt;0,0,ROUND(+(MIN(F40,30)-D38),0))</f>
        <v>0</v>
      </c>
      <c r="H33" s="71" t="s">
        <v>59</v>
      </c>
    </row>
    <row r="34" spans="1:8" s="19" customFormat="1" ht="12.75" x14ac:dyDescent="0.2">
      <c r="C34" s="20" t="s">
        <v>46</v>
      </c>
      <c r="D34" s="97"/>
      <c r="H34" s="71"/>
    </row>
    <row r="35" spans="1:8" s="19" customFormat="1" ht="12.75" x14ac:dyDescent="0.2">
      <c r="C35" s="20"/>
      <c r="H35" s="71" t="str">
        <f>+"On calcule donc un nombre de période avant la prise en compte des cp acquis soit "&amp;F25&amp;" / 4 = "&amp;ROUND(F25/4,4)&amp;" période(s)"</f>
        <v>On calcule donc un nombre de période avant la prise en compte des cp acquis soit  / 4 = 0 période(s)</v>
      </c>
    </row>
    <row r="36" spans="1:8" s="19" customFormat="1" ht="12.75" x14ac:dyDescent="0.2">
      <c r="C36" s="20" t="s">
        <v>33</v>
      </c>
      <c r="D36" s="39">
        <f>ROUND(F27/4,4)</f>
        <v>0</v>
      </c>
      <c r="E36" s="40" t="s">
        <v>12</v>
      </c>
      <c r="F36" s="41">
        <f>+ROUND(D36,2)</f>
        <v>0</v>
      </c>
      <c r="H36" s="71" t="str">
        <f>+"Les semaines de cp acquis l'année précédente sont "&amp;D18&amp;" jrs ouvrables / 6 jours par semaine = "&amp;ROUND(D18/6,2)&amp;" semaine(s)"</f>
        <v>Les semaines de cp acquis l'année précédente sont 0 jrs ouvrables / 6 jours par semaine = 0 semaine(s)</v>
      </c>
    </row>
    <row r="37" spans="1:8" s="19" customFormat="1" ht="12.75" x14ac:dyDescent="0.2">
      <c r="H37" s="71" t="str">
        <f>+"Si on prend en compte les semaines de cp acquis (soit "&amp;ROUND(D18/6,2)&amp;" semaines, soit "&amp;ROUND(D18/6/4,2)&amp;" période(s)) pour le calcul du nombre total de période on obtient :"</f>
        <v>Si on prend en compte les semaines de cp acquis (soit 0 semaines, soit 0 période(s)) pour le calcul du nombre total de période on obtient :</v>
      </c>
    </row>
    <row r="38" spans="1:8" s="19" customFormat="1" ht="12.75" x14ac:dyDescent="0.2">
      <c r="C38" s="20" t="s">
        <v>34</v>
      </c>
      <c r="D38" s="42">
        <f>ROUNDUP(F36*2.5+F30,0)</f>
        <v>0</v>
      </c>
      <c r="H38" s="71" t="str">
        <f>+H30&amp;" période(s) + "&amp;ROUND(D18/6/4,4)&amp;" période(s) = "&amp;D36&amp;" arrondi à "&amp;F36&amp;" période(s)"</f>
        <v>0 période(s) + 0 période(s) = 0 arrondi à 0 période(s)</v>
      </c>
    </row>
    <row r="39" spans="1:8" s="19" customFormat="1" ht="12.75" x14ac:dyDescent="0.2">
      <c r="H39" s="71"/>
    </row>
    <row r="40" spans="1:8" s="19" customFormat="1" ht="12.75" x14ac:dyDescent="0.2">
      <c r="C40" s="20" t="s">
        <v>11</v>
      </c>
      <c r="D40" s="42">
        <f>F36*2.5+D33+F30</f>
        <v>0</v>
      </c>
      <c r="E40" s="40" t="s">
        <v>12</v>
      </c>
      <c r="F40" s="43">
        <f>IF(D40&lt;30,ROUNDUP(D40,0),30)</f>
        <v>0</v>
      </c>
      <c r="H40" s="93" t="s">
        <v>87</v>
      </c>
    </row>
    <row r="41" spans="1:8" s="19" customFormat="1" ht="12.75" x14ac:dyDescent="0.2">
      <c r="H41" s="71" t="str">
        <f>+F36&amp;" période(s) x 2,5 jours + "&amp;D33&amp;" jour(s) enfant(s) de moins de 15 ans + "&amp;F30&amp;" jours = "&amp;F40&amp;" jour(s) ouvrable(s) maximum"</f>
        <v>0 période(s) x 2,5 jours +  jour(s) enfant(s) de moins de 15 ans +  jours = 0 jour(s) ouvrable(s) maximum</v>
      </c>
    </row>
    <row r="42" spans="1:8" s="19" customFormat="1" ht="12.75" x14ac:dyDescent="0.2">
      <c r="A42" s="163" t="s">
        <v>23</v>
      </c>
      <c r="B42" s="164"/>
      <c r="C42" s="165"/>
      <c r="D42" s="61">
        <f>ROUND((D13/6)*(F40+D34),2)</f>
        <v>0</v>
      </c>
      <c r="H42" s="71"/>
    </row>
    <row r="43" spans="1:8" s="19" customFormat="1" ht="12.75" x14ac:dyDescent="0.2">
      <c r="A43" s="20"/>
      <c r="B43" s="20"/>
      <c r="C43" s="20"/>
      <c r="D43" s="10"/>
      <c r="H43" s="71" t="s">
        <v>22</v>
      </c>
    </row>
    <row r="44" spans="1:8" s="19" customFormat="1" ht="12.75" x14ac:dyDescent="0.2">
      <c r="H44" s="71" t="str">
        <f>+"[Salaire hebdomadaire moyen ("&amp;ROUND(D13,2)&amp;" €) / 6 jours] x [ nombre de jours ouvrables de CP ("&amp;F40&amp;" jour(s)) + nombre de jours de fractionnement ("&amp;D34&amp;"  jour(s))]"</f>
        <v>[Salaire hebdomadaire moyen (0 €) / 6 jours] x [ nombre de jours ouvrables de CP (0 jour(s)) + nombre de jours de fractionnement (  jour(s))]</v>
      </c>
    </row>
    <row r="45" spans="1:8" s="19" customFormat="1" ht="12.75" x14ac:dyDescent="0.2">
      <c r="A45" s="7" t="s">
        <v>13</v>
      </c>
      <c r="H45" s="71" t="str">
        <f>+"soit un maintien de salaire de "&amp;D42&amp;" euros"</f>
        <v>soit un maintien de salaire de 0 euros</v>
      </c>
    </row>
    <row r="46" spans="1:8" s="19" customFormat="1" ht="12.75" x14ac:dyDescent="0.2"/>
    <row r="47" spans="1:8" s="19" customFormat="1" ht="12.75" x14ac:dyDescent="0.2">
      <c r="A47" s="19" t="s">
        <v>14</v>
      </c>
      <c r="H47" s="8" t="s">
        <v>8</v>
      </c>
    </row>
    <row r="48" spans="1:8" s="19" customFormat="1" ht="38.25" x14ac:dyDescent="0.2">
      <c r="B48" s="44" t="str">
        <f>+IF(M3="Brut","Salaires bruts","Salaires nets")</f>
        <v>Salaires bruts</v>
      </c>
      <c r="C48" s="94" t="s">
        <v>88</v>
      </c>
      <c r="D48" s="46" t="s">
        <v>15</v>
      </c>
      <c r="E48" s="45"/>
      <c r="F48" s="45"/>
      <c r="H48" s="19" t="s">
        <v>16</v>
      </c>
    </row>
    <row r="49" spans="1:13" s="19" customFormat="1" ht="13.5" customHeight="1" x14ac:dyDescent="0.2">
      <c r="A49" s="47" t="str">
        <f>+IF(AND(DATE(YEAR($L$6),6,30)&gt;=$L$6,DATE(YEAR($L$6),6,1)&lt;=$M$6),DATE(YEAR($L$6),6,1),"Hors période")</f>
        <v>Hors période</v>
      </c>
      <c r="B49" s="73"/>
      <c r="C49" s="73"/>
      <c r="D49" s="48">
        <f>ROUND(((+B49+C49)*10%),2)</f>
        <v>0</v>
      </c>
      <c r="E49" s="76"/>
      <c r="F49" s="23"/>
      <c r="H49" s="71" t="s">
        <v>54</v>
      </c>
    </row>
    <row r="50" spans="1:13" s="19" customFormat="1" ht="13.5" customHeight="1" x14ac:dyDescent="0.2">
      <c r="A50" s="47" t="str">
        <f>+IF(AND(DATE(YEAR($L$6),7,31)&gt;=$L$6,DATE(YEAR($L$6),7,1)&lt;=$M$6),DATE(YEAR($L$6),7,1),"Hors période")</f>
        <v>Hors période</v>
      </c>
      <c r="B50" s="73"/>
      <c r="C50" s="73"/>
      <c r="D50" s="48">
        <f t="shared" ref="D50:D60" si="0">ROUND(((+B50+C50)*10%),2)</f>
        <v>0</v>
      </c>
      <c r="E50" s="76"/>
      <c r="F50" s="23"/>
      <c r="H50" s="71" t="str">
        <f>+"Soit pour la ligne du mois de Février "&amp;D57&amp;" euros"</f>
        <v>Soit pour la ligne du mois de Février 0 euros</v>
      </c>
      <c r="M50" s="50"/>
    </row>
    <row r="51" spans="1:13" s="19" customFormat="1" ht="13.5" customHeight="1" x14ac:dyDescent="0.25">
      <c r="A51" s="47" t="str">
        <f>+IF(AND(DATE(YEAR($L$6),8,31)&gt;=$L$6,DATE(YEAR($L$6),8,1)&lt;=$M$6),DATE(YEAR($L$6),8,1),"Hors période")</f>
        <v>Hors période</v>
      </c>
      <c r="B51" s="73"/>
      <c r="C51" s="73"/>
      <c r="D51" s="48">
        <f t="shared" si="0"/>
        <v>0</v>
      </c>
      <c r="E51" s="76"/>
      <c r="F51" s="23"/>
      <c r="H51" s="2"/>
    </row>
    <row r="52" spans="1:13" s="19" customFormat="1" ht="13.5" customHeight="1" x14ac:dyDescent="0.2">
      <c r="A52" s="47" t="str">
        <f>+IF(AND(DATE(YEAR($L$6),9,30)&gt;=$L$6,DATE(YEAR($L$6),9,1)&lt;=$M$6),DATE(YEAR($L$6),9,1),"Hors période")</f>
        <v>Hors période</v>
      </c>
      <c r="B52" s="73"/>
      <c r="C52" s="73"/>
      <c r="D52" s="48">
        <f t="shared" si="0"/>
        <v>0</v>
      </c>
      <c r="E52" s="76"/>
      <c r="F52" s="23"/>
      <c r="H52" s="71" t="str">
        <f>+"10% sur les salaires de l'année de référence ("&amp;ROUND(D61,2)&amp;" euros)+ 10% de l'indemnité de CP de l'année précédente ("&amp;ROUND(D63,2)&amp;" euros) = "&amp;ROUND(D61+D63,2)&amp;" euros"</f>
        <v>10% sur les salaires de l'année de référence (0 euros)+ 10% de l'indemnité de CP de l'année précédente (0 euros) = 0 euros</v>
      </c>
      <c r="I52" s="20"/>
    </row>
    <row r="53" spans="1:13" s="19" customFormat="1" ht="13.5" customHeight="1" x14ac:dyDescent="0.25">
      <c r="A53" s="47" t="str">
        <f>+IF(AND(DATE(YEAR($L$6),10,31)&gt;=$L$6,DATE(YEAR($L$6),10,1)&lt;=$M$6),DATE(YEAR($L$6),10,1),"Hors période")</f>
        <v>Hors période</v>
      </c>
      <c r="B53" s="73"/>
      <c r="C53" s="73"/>
      <c r="D53" s="48">
        <f t="shared" si="0"/>
        <v>0</v>
      </c>
      <c r="E53" s="76"/>
      <c r="F53" s="23"/>
      <c r="H53" s="2"/>
    </row>
    <row r="54" spans="1:13" s="19" customFormat="1" ht="13.5" customHeight="1" x14ac:dyDescent="0.2">
      <c r="A54" s="47" t="str">
        <f>+IF(AND(DATE(YEAR($L$6),11,30)&gt;=$L$6,DATE(YEAR($L$6),11,1)&lt;=$M$6),DATE(YEAR($L$6),11,1),"Hors période")</f>
        <v>Hors période</v>
      </c>
      <c r="B54" s="73"/>
      <c r="C54" s="73"/>
      <c r="D54" s="48">
        <f t="shared" si="0"/>
        <v>0</v>
      </c>
      <c r="E54" s="76"/>
      <c r="F54" s="23"/>
      <c r="H54" s="71" t="s">
        <v>35</v>
      </c>
    </row>
    <row r="55" spans="1:13" s="19" customFormat="1" ht="13.5" customHeight="1" x14ac:dyDescent="0.2">
      <c r="A55" s="47" t="str">
        <f>+IF(AND(DATE(YEAR($L$6),12,31)&gt;=$L$6,DATE(YEAR($L$6),12,1)&lt;=$M$6),DATE(YEAR($L$6),12,1),"Hors période")</f>
        <v>Hors période</v>
      </c>
      <c r="B55" s="73"/>
      <c r="C55" s="73"/>
      <c r="D55" s="48">
        <f t="shared" si="0"/>
        <v>0</v>
      </c>
      <c r="E55" s="76"/>
      <c r="F55" s="23"/>
      <c r="H55" s="71" t="s">
        <v>36</v>
      </c>
    </row>
    <row r="56" spans="1:13" s="19" customFormat="1" ht="13.5" customHeight="1" x14ac:dyDescent="0.25">
      <c r="A56" s="47" t="str">
        <f>+IF(AND(DATE(YEAR($L$6)+1,1,31)&gt;=$L$6,DATE(YEAR($L$6)+1,1,1)&lt;=$M$6),DATE(YEAR($L$6)+1,1,1),IF(AND(DATE(YEAR($L$6),1,31)&gt;=$L$6,DATE(YEAR($L$6),1,1)&lt;=$M$6),DATE(YEAR($L$6),1,1),"Hors période"))</f>
        <v>Hors période</v>
      </c>
      <c r="B56" s="73"/>
      <c r="C56" s="73"/>
      <c r="D56" s="48">
        <f t="shared" si="0"/>
        <v>0</v>
      </c>
      <c r="E56" s="76"/>
      <c r="F56" s="23"/>
      <c r="H56" s="2"/>
      <c r="I56" s="72" t="str">
        <f>+ROUND((D61+D63),2)&amp;" / "&amp;D38&amp;" X "&amp;F33</f>
        <v>0 / 0 X 0</v>
      </c>
      <c r="J56" s="71" t="str">
        <f>"= "&amp;IF(D39,ROUND((D61+D63)/D38*F33,2),0)</f>
        <v>= 0</v>
      </c>
    </row>
    <row r="57" spans="1:13" s="19" customFormat="1" ht="13.5" customHeight="1" x14ac:dyDescent="0.25">
      <c r="A57" s="47" t="str">
        <f>+IF(AND(DATE(YEAR($L$6)+1,2,29)&gt;=$L$6,DATE(YEAR($L$6)+1,2,1)&lt;=$M$6),DATE(YEAR($L$6)+1,2,1),IF(AND(DATE(YEAR($L$6),2,29)&gt;=$L$6,DATE(YEAR($L$6),2,1)&lt;=$M$6),DATE(YEAR($L$6),2,1),"Hors période"))</f>
        <v>Hors période</v>
      </c>
      <c r="B57" s="73"/>
      <c r="C57" s="73"/>
      <c r="D57" s="48">
        <f t="shared" si="0"/>
        <v>0</v>
      </c>
      <c r="E57" s="76"/>
      <c r="F57" s="23"/>
      <c r="H57" s="2"/>
    </row>
    <row r="58" spans="1:13" s="19" customFormat="1" ht="13.5" customHeight="1" x14ac:dyDescent="0.2">
      <c r="A58" s="47" t="str">
        <f>+IF(AND(DATE(YEAR($L$6)+1,3,31)&gt;=$L$6,DATE(YEAR($L$6)+1,3,1)&lt;=$M$6),DATE(YEAR($L$6)+1,3,1),+IF(AND(DATE(YEAR($L$6),3,31)&gt;=$L$6,DATE(YEAR($L$6),3,1)&lt;=$M$6),DATE(YEAR($L$6),3,1),"Hors période"))</f>
        <v>Hors période</v>
      </c>
      <c r="B58" s="73"/>
      <c r="C58" s="73"/>
      <c r="D58" s="48">
        <f t="shared" si="0"/>
        <v>0</v>
      </c>
      <c r="E58" s="76"/>
      <c r="F58" s="23"/>
      <c r="H58" s="71" t="str">
        <f>"Soit  un montant total de "&amp;ROUND((D61+D63),2)&amp;" euros"&amp;" + "&amp;ROUND(D65,2)&amp;" euros = "&amp;ROUND(D67,2)&amp;" euros"</f>
        <v>Soit  un montant total de 0 euros + 0 euros = 0 euros</v>
      </c>
    </row>
    <row r="59" spans="1:13" s="19" customFormat="1" ht="13.5" customHeight="1" x14ac:dyDescent="0.2">
      <c r="A59" s="47" t="str">
        <f>+IF(AND(DATE(YEAR($L$6)+1,4,30)&gt;=$L$6,DATE(YEAR($L$6)+1,4,1)&lt;=$M$6),DATE(YEAR($L$6)+1,4,1),IF(AND(DATE(YEAR($L$6),4,30)&gt;=$L$6,DATE(YEAR($L$6),4,1)&lt;=$M$6),DATE(YEAR($L$6),4,1),"Hors période"))</f>
        <v>Hors période</v>
      </c>
      <c r="B59" s="73"/>
      <c r="C59" s="73"/>
      <c r="D59" s="48">
        <f t="shared" si="0"/>
        <v>0</v>
      </c>
      <c r="E59" s="76"/>
      <c r="F59" s="23"/>
    </row>
    <row r="60" spans="1:13" s="19" customFormat="1" ht="13.5" customHeight="1" x14ac:dyDescent="0.2">
      <c r="A60" s="47" t="str">
        <f>+IF(AND(DATE(YEAR($L$6)+1,5,31)&gt;=$L$6,DATE(YEAR($L$6)+1,5,1)&lt;=$M$6),DATE(YEAR($L$6)+1,5,1),IF(AND(DATE(YEAR($L$6),5,31)&gt;=$L$6,DATE(YEAR($L$6),5,1)&lt;=$M$6),DATE(YEAR($L$6),5,1),"Hors période"))</f>
        <v>Hors période</v>
      </c>
      <c r="B60" s="73"/>
      <c r="C60" s="73"/>
      <c r="D60" s="48">
        <f t="shared" si="0"/>
        <v>0</v>
      </c>
      <c r="E60" s="76"/>
      <c r="F60" s="23"/>
    </row>
    <row r="61" spans="1:13" s="19" customFormat="1" ht="12.75" x14ac:dyDescent="0.2">
      <c r="C61" s="20" t="s">
        <v>17</v>
      </c>
      <c r="D61" s="63">
        <f>ROUND(SUM(D49:D60),2)</f>
        <v>0</v>
      </c>
    </row>
    <row r="62" spans="1:13" s="19" customFormat="1" ht="12.75" x14ac:dyDescent="0.2"/>
    <row r="63" spans="1:13" s="19" customFormat="1" ht="12.75" x14ac:dyDescent="0.2">
      <c r="A63" s="171" t="s">
        <v>53</v>
      </c>
      <c r="B63" s="171"/>
      <c r="C63" s="171"/>
      <c r="D63" s="75">
        <f>+D15*0.1</f>
        <v>0</v>
      </c>
      <c r="E63" s="20"/>
      <c r="F63" s="74"/>
    </row>
    <row r="64" spans="1:13" s="19" customFormat="1" ht="12.75" x14ac:dyDescent="0.2">
      <c r="E64" s="20"/>
      <c r="F64" s="23"/>
    </row>
    <row r="65" spans="1:8" s="19" customFormat="1" ht="12.75" x14ac:dyDescent="0.2">
      <c r="C65" s="20" t="s">
        <v>47</v>
      </c>
      <c r="D65" s="52">
        <f>IF(D38,+(D61+D63)/D38*(F33+D34),0)</f>
        <v>0</v>
      </c>
      <c r="F65" s="23"/>
    </row>
    <row r="66" spans="1:8" s="19" customFormat="1" ht="12.75" x14ac:dyDescent="0.2">
      <c r="H66" s="20"/>
    </row>
    <row r="67" spans="1:8" s="19" customFormat="1" ht="12.75" x14ac:dyDescent="0.2">
      <c r="A67" s="163" t="s">
        <v>25</v>
      </c>
      <c r="B67" s="164"/>
      <c r="C67" s="165"/>
      <c r="D67" s="61">
        <f>ROUND(SUM(D49:D60)+D65+D63,2)</f>
        <v>0</v>
      </c>
      <c r="H67" s="20"/>
    </row>
    <row r="68" spans="1:8" s="19" customFormat="1" ht="13.5" thickBot="1" x14ac:dyDescent="0.25"/>
    <row r="69" spans="1:8" s="19" customFormat="1" ht="15.75" customHeight="1" thickBot="1" x14ac:dyDescent="0.25">
      <c r="A69" s="167" t="s">
        <v>26</v>
      </c>
      <c r="B69" s="168"/>
      <c r="C69" s="168"/>
      <c r="D69" s="168"/>
      <c r="E69" s="168"/>
      <c r="F69" s="169"/>
      <c r="G69" s="62">
        <f>+IF(D67&gt;D42,D67,D42)</f>
        <v>0</v>
      </c>
    </row>
    <row r="70" spans="1:8" s="19" customFormat="1" ht="13.5" thickBot="1" x14ac:dyDescent="0.25">
      <c r="A70" s="64"/>
      <c r="B70" s="65"/>
      <c r="C70" s="65"/>
      <c r="D70" s="65"/>
      <c r="E70" s="65"/>
      <c r="F70" s="66"/>
      <c r="G70" s="53"/>
    </row>
    <row r="71" spans="1:8" s="19" customFormat="1" ht="14.25" customHeight="1" x14ac:dyDescent="0.2"/>
    <row r="72" spans="1:8" s="19" customFormat="1" ht="12.75" x14ac:dyDescent="0.2">
      <c r="C72" s="20"/>
      <c r="D72" s="15"/>
    </row>
    <row r="73" spans="1:8" s="19" customFormat="1" ht="12.75" x14ac:dyDescent="0.2"/>
    <row r="74" spans="1:8" s="19" customFormat="1" ht="12.75" x14ac:dyDescent="0.2">
      <c r="A74" s="19" t="s">
        <v>6</v>
      </c>
      <c r="B74" s="154" t="str">
        <f>+"Du "&amp;TEXT(L7,"jj/mm/aaaa")&amp;" au "&amp;TEXT(M7,"jj/mm/aaaa")</f>
        <v>Du 01/06/3798 au 31/05/3799</v>
      </c>
      <c r="C74" s="154"/>
      <c r="D74" s="154"/>
    </row>
    <row r="75" spans="1:8" s="19" customFormat="1" ht="12.75" x14ac:dyDescent="0.2">
      <c r="A75" s="19" t="s">
        <v>7</v>
      </c>
      <c r="B75" s="161">
        <f>+B5</f>
        <v>0</v>
      </c>
      <c r="C75" s="161"/>
      <c r="D75" s="161"/>
    </row>
    <row r="76" spans="1:8" s="19" customFormat="1" ht="12.75" x14ac:dyDescent="0.2"/>
    <row r="77" spans="1:8" s="19" customFormat="1" ht="12.75" x14ac:dyDescent="0.2">
      <c r="E77" s="20" t="str">
        <f>+"Montant l'indemnité de CP au "&amp;TEXT(M7,"jj/mm/aaaa")&amp;" :"</f>
        <v>Montant l'indemnité de CP au 31/05/3799 :</v>
      </c>
      <c r="F77" s="32">
        <f>+D15</f>
        <v>0</v>
      </c>
      <c r="G77" s="20"/>
    </row>
    <row r="78" spans="1:8" s="19" customFormat="1" ht="12.75" x14ac:dyDescent="0.2">
      <c r="E78" s="20"/>
      <c r="F78" s="23"/>
      <c r="G78" s="20"/>
    </row>
    <row r="79" spans="1:8" s="19" customFormat="1" ht="12.75" x14ac:dyDescent="0.2"/>
    <row r="80" spans="1:8" s="19" customFormat="1" ht="25.5" x14ac:dyDescent="0.2">
      <c r="B80" s="88" t="str">
        <f>+IF(M3="Brut","Paiements reçus en brut","Paiements reçus en net")</f>
        <v>Paiements reçus en brut</v>
      </c>
      <c r="C80" s="89"/>
    </row>
    <row r="81" spans="1:6" s="19" customFormat="1" ht="12.75" x14ac:dyDescent="0.2">
      <c r="A81" s="47" t="str">
        <f>+IF(AND(DATE(YEAR($L$6),6,30)&gt;=$L$6,DATE(YEAR($L$6),6,1)&lt;=$M$6),DATE(YEAR($L$6),6,1),"Hors période")</f>
        <v>Hors période</v>
      </c>
      <c r="B81" s="73"/>
      <c r="C81" s="23"/>
    </row>
    <row r="82" spans="1:6" s="19" customFormat="1" ht="12.75" x14ac:dyDescent="0.2">
      <c r="A82" s="47" t="str">
        <f>+IF(AND(DATE(YEAR($L$6),7,31)&gt;=$L$6,DATE(YEAR($L$6),7,1)&lt;=$M$6),DATE(YEAR($L$6),7,1),"Hors période")</f>
        <v>Hors période</v>
      </c>
      <c r="B82" s="73"/>
      <c r="C82" s="23"/>
    </row>
    <row r="83" spans="1:6" s="19" customFormat="1" ht="12.75" x14ac:dyDescent="0.2">
      <c r="A83" s="47" t="str">
        <f>+IF(AND(DATE(YEAR($L$6),8,31)&gt;=$L$6,DATE(YEAR($L$6),8,1)&lt;=$M$6),DATE(YEAR($L$6),8,1),"Hors période")</f>
        <v>Hors période</v>
      </c>
      <c r="B83" s="73"/>
      <c r="C83" s="23"/>
    </row>
    <row r="84" spans="1:6" s="19" customFormat="1" ht="12.75" x14ac:dyDescent="0.2">
      <c r="A84" s="47" t="str">
        <f>+IF(AND(DATE(YEAR($L$6),9,30)&gt;=$L$6,DATE(YEAR($L$6),9,1)&lt;=$M$6),DATE(YEAR($L$6),9,1),"Hors période")</f>
        <v>Hors période</v>
      </c>
      <c r="B84" s="73"/>
      <c r="C84" s="23"/>
    </row>
    <row r="85" spans="1:6" s="19" customFormat="1" ht="12.75" x14ac:dyDescent="0.2">
      <c r="A85" s="47" t="str">
        <f>+IF(AND(DATE(YEAR($L$6),10,31)&gt;=$L$6,DATE(YEAR($L$6),10,1)&lt;=$M$6),DATE(YEAR($L$6),10,1),"Hors période")</f>
        <v>Hors période</v>
      </c>
      <c r="B85" s="73"/>
      <c r="C85" s="23"/>
    </row>
    <row r="86" spans="1:6" s="19" customFormat="1" ht="12.75" x14ac:dyDescent="0.2">
      <c r="A86" s="47" t="str">
        <f>+IF(AND(DATE(YEAR($L$6),11,30)&gt;=$L$6,DATE(YEAR($L$6),11,1)&lt;=$M$6),DATE(YEAR($L$6),11,1),"Hors période")</f>
        <v>Hors période</v>
      </c>
      <c r="B86" s="73"/>
      <c r="C86" s="23"/>
    </row>
    <row r="87" spans="1:6" s="19" customFormat="1" ht="12.75" x14ac:dyDescent="0.2">
      <c r="A87" s="47" t="str">
        <f>+IF(AND(DATE(YEAR($L$6),12,31)&gt;=$L$6,DATE(YEAR($L$6),12,1)&lt;=$M$6),DATE(YEAR($L$6),12,1),"Hors période")</f>
        <v>Hors période</v>
      </c>
      <c r="B87" s="73"/>
      <c r="C87" s="23"/>
    </row>
    <row r="88" spans="1:6" s="19" customFormat="1" ht="12.75" x14ac:dyDescent="0.2">
      <c r="A88" s="47" t="str">
        <f>+IF(AND(DATE(YEAR($L$6)+1,1,31)&gt;=$L$6,DATE(YEAR($L$6)+1,1,1)&lt;=$M$6),DATE(YEAR($L$6)+1,1,1),+IF(AND(DATE(YEAR($L$6),1,31)&gt;=$L$6,DATE(YEAR($L$6),1,1)&lt;=$M$6),DATE(YEAR($L$6),1,1),"Hors période"))</f>
        <v>Hors période</v>
      </c>
      <c r="B88" s="73"/>
      <c r="C88" s="23"/>
    </row>
    <row r="89" spans="1:6" s="19" customFormat="1" ht="12.75" x14ac:dyDescent="0.2">
      <c r="A89" s="47" t="str">
        <f>+IF(AND(DATE(YEAR($L$6)+1,2,29)&gt;=$L$6,DATE(YEAR($L$6)+1,2,1)&lt;=$M$6),DATE(YEAR($L$6)+1,2,1),IF(AND(DATE(YEAR($L$6),2,29)&gt;=$L$6,DATE(YEAR($L$6),2,1)&lt;=$M$6),DATE(YEAR($L$6),2,1),"Hors période"))</f>
        <v>Hors période</v>
      </c>
      <c r="B89" s="73"/>
      <c r="C89" s="23"/>
    </row>
    <row r="90" spans="1:6" s="19" customFormat="1" ht="12.75" x14ac:dyDescent="0.2">
      <c r="A90" s="47" t="str">
        <f>+IF(AND(DATE(YEAR($L$6)+1,3,31)&gt;=$L$6,DATE(YEAR($L$6)+1,3,1)&lt;=$M$6),DATE(YEAR($L$6)+1,3,1),IF(AND(DATE(YEAR($L$6),3,31)&gt;=$L$6,DATE(YEAR($L$6),3,1)&lt;=$M$6),DATE(YEAR($L$6),3,1),"Hors période"))</f>
        <v>Hors période</v>
      </c>
      <c r="B90" s="73"/>
      <c r="C90" s="23"/>
    </row>
    <row r="91" spans="1:6" s="19" customFormat="1" ht="12.75" x14ac:dyDescent="0.2">
      <c r="A91" s="47" t="str">
        <f>+IF(AND(DATE(YEAR($L$6)+1,4,30)&gt;=$L$6,DATE(YEAR($L$6)+1,4,1)&lt;=$M$6),DATE(YEAR($L$6)+1,4,1),IF(AND(DATE(YEAR($L$6),4,30)&gt;=$L$6,DATE(YEAR($L$6),4,1)&lt;=$M$6),DATE(YEAR($L$6),4,1),"Hors période"))</f>
        <v>Hors période</v>
      </c>
      <c r="B91" s="73"/>
      <c r="C91" s="23"/>
    </row>
    <row r="92" spans="1:6" s="19" customFormat="1" ht="12.75" x14ac:dyDescent="0.2">
      <c r="A92" s="47" t="str">
        <f>+IF(AND(DATE(YEAR($L$6)+1,5,31)&gt;=$L$6,DATE(YEAR($L$6)+1,5,1)&lt;=$M$6),DATE(YEAR($L$6)+1,5,1),IF(AND(DATE(YEAR($L$6),5,31)&gt;=$L$6,DATE(YEAR($L$6),5,1)&lt;=$M$6),DATE(YEAR($L$6),5,1),"Hors période"))</f>
        <v>Hors période</v>
      </c>
      <c r="B92" s="73"/>
      <c r="C92" s="23"/>
    </row>
    <row r="93" spans="1:6" s="19" customFormat="1" ht="12.75" x14ac:dyDescent="0.2">
      <c r="A93" s="67" t="s">
        <v>17</v>
      </c>
      <c r="B93" s="63">
        <f>SUM(B81:B92)</f>
        <v>0</v>
      </c>
    </row>
    <row r="94" spans="1:6" s="19" customFormat="1" ht="12.75" x14ac:dyDescent="0.2"/>
    <row r="95" spans="1:6" s="19" customFormat="1" ht="12.75" x14ac:dyDescent="0.2"/>
    <row r="96" spans="1:6" s="19" customFormat="1" ht="12.75" x14ac:dyDescent="0.2">
      <c r="E96" s="20"/>
      <c r="F96" s="83"/>
    </row>
    <row r="97" s="19" customFormat="1" ht="12.75" x14ac:dyDescent="0.2"/>
    <row r="98" s="19" customFormat="1" ht="12.75" x14ac:dyDescent="0.2"/>
    <row r="99" s="19" customFormat="1" ht="12.75" x14ac:dyDescent="0.2"/>
    <row r="100" s="19" customFormat="1" ht="12.75" x14ac:dyDescent="0.2"/>
    <row r="101" s="19" customFormat="1" ht="12.75" x14ac:dyDescent="0.2"/>
    <row r="102" s="19" customFormat="1" ht="12.75" x14ac:dyDescent="0.2"/>
    <row r="103" s="19" customFormat="1" ht="12.75" x14ac:dyDescent="0.2"/>
    <row r="104" s="19" customFormat="1" ht="12.75" x14ac:dyDescent="0.2"/>
    <row r="105" s="19" customFormat="1" ht="12.75" x14ac:dyDescent="0.2"/>
    <row r="106" s="19" customFormat="1" ht="12.75" x14ac:dyDescent="0.2"/>
    <row r="107" s="19" customFormat="1" ht="12.75" x14ac:dyDescent="0.2"/>
    <row r="108" s="19" customFormat="1" ht="12.75" x14ac:dyDescent="0.2"/>
    <row r="109" s="19" customFormat="1" ht="12.75" x14ac:dyDescent="0.2"/>
    <row r="110" s="19" customFormat="1" ht="12.75" x14ac:dyDescent="0.2"/>
    <row r="111" s="19" customFormat="1" ht="12.75" x14ac:dyDescent="0.2"/>
    <row r="112" s="19" customFormat="1" ht="12.75" x14ac:dyDescent="0.2"/>
    <row r="113" s="19" customFormat="1" ht="12.75" x14ac:dyDescent="0.2"/>
    <row r="114" s="19" customFormat="1" ht="12.75" x14ac:dyDescent="0.2"/>
    <row r="115" s="19" customFormat="1" ht="12.75" x14ac:dyDescent="0.2"/>
    <row r="116" s="19" customFormat="1" ht="12.75" x14ac:dyDescent="0.2"/>
    <row r="117" s="19" customFormat="1" ht="12.75" x14ac:dyDescent="0.2"/>
    <row r="118" s="19" customFormat="1" ht="12.75" x14ac:dyDescent="0.2"/>
    <row r="119" s="19" customFormat="1" ht="12.75" x14ac:dyDescent="0.2"/>
    <row r="120" s="19" customFormat="1" ht="12.75" x14ac:dyDescent="0.2"/>
    <row r="121" s="19" customFormat="1" ht="12.75" x14ac:dyDescent="0.2"/>
    <row r="122" s="19" customFormat="1" ht="12.75" x14ac:dyDescent="0.2"/>
    <row r="123" s="19" customFormat="1" ht="12.75" x14ac:dyDescent="0.2"/>
    <row r="124" s="19" customFormat="1" ht="12.75" x14ac:dyDescent="0.2"/>
    <row r="125" s="19" customFormat="1" ht="12.75" x14ac:dyDescent="0.2"/>
    <row r="126" s="19" customFormat="1" ht="12.75" x14ac:dyDescent="0.2"/>
    <row r="127" s="19" customFormat="1" ht="12.75" x14ac:dyDescent="0.2"/>
    <row r="128" s="19" customFormat="1" ht="12.75" x14ac:dyDescent="0.2"/>
    <row r="129" s="19" customFormat="1" ht="12.75" x14ac:dyDescent="0.2"/>
    <row r="130" s="19" customFormat="1" ht="12.75" x14ac:dyDescent="0.2"/>
    <row r="131" s="19" customFormat="1" ht="12.75" x14ac:dyDescent="0.2"/>
    <row r="132" s="19" customFormat="1" ht="12.75" x14ac:dyDescent="0.2"/>
    <row r="133" s="19" customFormat="1" ht="12.75" x14ac:dyDescent="0.2"/>
    <row r="134" s="19" customFormat="1" ht="12.75" x14ac:dyDescent="0.2"/>
    <row r="135" s="19" customFormat="1" ht="12.75" x14ac:dyDescent="0.2"/>
    <row r="136" s="19" customFormat="1" ht="12.75" x14ac:dyDescent="0.2"/>
    <row r="137" s="19" customFormat="1" ht="12.75" x14ac:dyDescent="0.2"/>
    <row r="138" s="19" customFormat="1" ht="12.75" x14ac:dyDescent="0.2"/>
    <row r="139" s="19" customFormat="1" ht="12.75" x14ac:dyDescent="0.2"/>
    <row r="140" s="19" customFormat="1" ht="12.75" x14ac:dyDescent="0.2"/>
    <row r="141" s="19" customFormat="1" ht="12.75" x14ac:dyDescent="0.2"/>
    <row r="142" s="19" customFormat="1" ht="12.75" x14ac:dyDescent="0.2"/>
    <row r="143" s="19" customFormat="1" ht="12.75" x14ac:dyDescent="0.2"/>
    <row r="144" s="19" customFormat="1" ht="12.75" x14ac:dyDescent="0.2"/>
    <row r="145" s="19" customFormat="1" ht="12.75" x14ac:dyDescent="0.2"/>
    <row r="146" s="19" customFormat="1" ht="12.75" x14ac:dyDescent="0.2"/>
    <row r="147" s="19" customFormat="1" ht="12.75" x14ac:dyDescent="0.2"/>
    <row r="148" s="19" customFormat="1" ht="12.75" x14ac:dyDescent="0.2"/>
    <row r="149" s="19" customFormat="1" ht="12.75" x14ac:dyDescent="0.2"/>
    <row r="150" s="19" customFormat="1" ht="12.75" x14ac:dyDescent="0.2"/>
    <row r="151" s="19" customFormat="1" ht="12.75" x14ac:dyDescent="0.2"/>
    <row r="152" s="19" customFormat="1" ht="12.75" x14ac:dyDescent="0.2"/>
    <row r="153" s="19" customFormat="1" ht="12.75" x14ac:dyDescent="0.2"/>
    <row r="154" s="19" customFormat="1" ht="12.75" x14ac:dyDescent="0.2"/>
    <row r="155" s="19" customFormat="1" ht="12.75" x14ac:dyDescent="0.2"/>
    <row r="156" s="19" customFormat="1" ht="12.75" x14ac:dyDescent="0.2"/>
    <row r="157" s="19" customFormat="1" ht="12.75" x14ac:dyDescent="0.2"/>
    <row r="158" s="19" customFormat="1" ht="12.75" x14ac:dyDescent="0.2"/>
    <row r="159" s="19" customFormat="1" ht="12.75" x14ac:dyDescent="0.2"/>
    <row r="160" s="19" customFormat="1" ht="12.75" x14ac:dyDescent="0.2"/>
    <row r="161" s="19" customFormat="1" ht="12.75" x14ac:dyDescent="0.2"/>
    <row r="162" s="19" customFormat="1" ht="12.75" x14ac:dyDescent="0.2"/>
    <row r="163" s="19" customFormat="1" ht="12.75" x14ac:dyDescent="0.2"/>
    <row r="164" s="19" customFormat="1" ht="12.75" x14ac:dyDescent="0.2"/>
    <row r="165" s="19" customFormat="1" ht="12.75" x14ac:dyDescent="0.2"/>
    <row r="166" s="19" customFormat="1" ht="12.75" x14ac:dyDescent="0.2"/>
    <row r="167" s="19" customFormat="1" ht="12.75" x14ac:dyDescent="0.2"/>
    <row r="168" s="19" customFormat="1" ht="12.75" x14ac:dyDescent="0.2"/>
    <row r="169" s="19" customFormat="1" ht="12.75" x14ac:dyDescent="0.2"/>
    <row r="170" s="19" customFormat="1" ht="12.75" x14ac:dyDescent="0.2"/>
    <row r="171" s="19" customFormat="1" ht="12.75" x14ac:dyDescent="0.2"/>
    <row r="172" s="19" customFormat="1" ht="12.75" x14ac:dyDescent="0.2"/>
    <row r="173" s="19" customFormat="1" ht="12.75" x14ac:dyDescent="0.2"/>
    <row r="174" s="19" customFormat="1" ht="12.75" x14ac:dyDescent="0.2"/>
    <row r="175" s="19" customFormat="1" ht="12.75" x14ac:dyDescent="0.2"/>
    <row r="176" s="19" customFormat="1" ht="12.75" x14ac:dyDescent="0.2"/>
    <row r="177" s="19" customFormat="1" ht="12.75" x14ac:dyDescent="0.2"/>
    <row r="178" s="19" customFormat="1" ht="12.75" x14ac:dyDescent="0.2"/>
    <row r="179" s="19" customFormat="1" ht="12.75" x14ac:dyDescent="0.2"/>
    <row r="180" s="19" customFormat="1" ht="12.75" x14ac:dyDescent="0.2"/>
    <row r="181" s="19" customFormat="1" ht="12.75" x14ac:dyDescent="0.2"/>
    <row r="182" s="19" customFormat="1" ht="12.75" x14ac:dyDescent="0.2"/>
    <row r="183" s="19" customFormat="1" ht="12.75" x14ac:dyDescent="0.2"/>
    <row r="184" s="19" customFormat="1" ht="12.75" x14ac:dyDescent="0.2"/>
    <row r="185" s="19" customFormat="1" ht="12.75" x14ac:dyDescent="0.2"/>
    <row r="186" s="19" customFormat="1" ht="12.75" x14ac:dyDescent="0.2"/>
    <row r="187" s="19" customFormat="1" ht="12.75" x14ac:dyDescent="0.2"/>
    <row r="188" s="19" customFormat="1" ht="12.75" x14ac:dyDescent="0.2"/>
    <row r="189" s="19" customFormat="1" ht="12.75" x14ac:dyDescent="0.2"/>
    <row r="190" s="19" customFormat="1" ht="12.75" x14ac:dyDescent="0.2"/>
    <row r="191" s="19" customFormat="1" ht="12.75" x14ac:dyDescent="0.2"/>
    <row r="192" s="19" customFormat="1" ht="12.75" x14ac:dyDescent="0.2"/>
    <row r="193" s="19" customFormat="1" ht="12.75" x14ac:dyDescent="0.2"/>
    <row r="194" s="19" customFormat="1" ht="12.75" x14ac:dyDescent="0.2"/>
    <row r="195" s="19" customFormat="1" ht="12.75" x14ac:dyDescent="0.2"/>
    <row r="196" s="19" customFormat="1" ht="12.75" x14ac:dyDescent="0.2"/>
    <row r="197" s="19" customFormat="1" ht="12.75" x14ac:dyDescent="0.2"/>
    <row r="198" s="19" customFormat="1" ht="12.75" x14ac:dyDescent="0.2"/>
    <row r="199" s="19" customFormat="1" ht="12.75" x14ac:dyDescent="0.2"/>
    <row r="200" s="19" customFormat="1" ht="12.75" x14ac:dyDescent="0.2"/>
    <row r="201" s="19" customFormat="1" ht="12.75" x14ac:dyDescent="0.2"/>
    <row r="202" s="19" customFormat="1" ht="12.75" x14ac:dyDescent="0.2"/>
    <row r="203" s="19" customFormat="1" ht="12.75" x14ac:dyDescent="0.2"/>
    <row r="204" s="19" customFormat="1" ht="12.75" x14ac:dyDescent="0.2"/>
    <row r="205" s="19" customFormat="1" ht="12.75" x14ac:dyDescent="0.2"/>
    <row r="206" s="19" customFormat="1" ht="12.75" x14ac:dyDescent="0.2"/>
    <row r="207" s="19" customFormat="1" ht="12.75" x14ac:dyDescent="0.2"/>
    <row r="208" s="19" customFormat="1" ht="12.75" x14ac:dyDescent="0.2"/>
    <row r="209" spans="1:27" s="19" customFormat="1" ht="12.75" x14ac:dyDescent="0.2"/>
    <row r="210" spans="1:27" s="19" customFormat="1" ht="12.75" x14ac:dyDescent="0.2"/>
    <row r="211" spans="1:27" s="19" customFormat="1" ht="12.75" x14ac:dyDescent="0.2"/>
    <row r="212" spans="1:27" s="19" customFormat="1" ht="12.75" x14ac:dyDescent="0.2"/>
    <row r="213" spans="1:27" s="19" customFormat="1" ht="12.75" x14ac:dyDescent="0.2"/>
    <row r="214" spans="1:27" s="19" customFormat="1" ht="12.75" x14ac:dyDescent="0.2"/>
    <row r="215" spans="1:27" s="19" customFormat="1" ht="12.75" x14ac:dyDescent="0.2"/>
    <row r="216" spans="1:27" s="19" customFormat="1" ht="12.75" x14ac:dyDescent="0.2"/>
    <row r="217" spans="1:27" s="19" customFormat="1" ht="12.75" x14ac:dyDescent="0.2"/>
    <row r="218" spans="1:27" s="19" customFormat="1" ht="12.75" x14ac:dyDescent="0.2"/>
    <row r="219" spans="1:27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7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</sheetData>
  <sheetProtection algorithmName="SHA-512" hashValue="+Uy0A5b5F5zuUA2ysXSORMXbFpVJCPgxB3RA2KzDY88GT8jJwYhEaBHi4vigonN8Wz+Z3/BQ7VRjqfQlggpz1Q==" saltValue="YAbKQxzgKU9XJ/RfzqQaGA==" spinCount="100000" sheet="1" formatCells="0" formatColumns="0" formatRows="0" insertColumns="0" insertRows="0" sort="0" autoFilter="0" pivotTables="0"/>
  <mergeCells count="15">
    <mergeCell ref="A69:F69"/>
    <mergeCell ref="A67:C67"/>
    <mergeCell ref="A63:C63"/>
    <mergeCell ref="B74:D74"/>
    <mergeCell ref="B75:D75"/>
    <mergeCell ref="C2:I2"/>
    <mergeCell ref="A15:C16"/>
    <mergeCell ref="A42:C42"/>
    <mergeCell ref="H17:I17"/>
    <mergeCell ref="A18:C19"/>
    <mergeCell ref="H16:I16"/>
    <mergeCell ref="B4:D4"/>
    <mergeCell ref="B5:D5"/>
    <mergeCell ref="H12:I12"/>
    <mergeCell ref="H13:I13"/>
  </mergeCells>
  <conditionalFormatting sqref="A63:D63">
    <cfRule type="expression" dxfId="51" priority="21">
      <formula>$T$15="OUI"</formula>
    </cfRule>
  </conditionalFormatting>
  <conditionalFormatting sqref="B81:B92">
    <cfRule type="notContainsBlanks" dxfId="50" priority="3">
      <formula>LEN(TRIM(B81))&gt;0</formula>
    </cfRule>
  </conditionalFormatting>
  <conditionalFormatting sqref="B49:C60">
    <cfRule type="notContainsBlanks" dxfId="49" priority="5">
      <formula>LEN(TRIM(B49))&gt;0</formula>
    </cfRule>
  </conditionalFormatting>
  <conditionalFormatting sqref="B4:D4">
    <cfRule type="expression" dxfId="48" priority="2">
      <formula>OR($I$4="",$I$6="")</formula>
    </cfRule>
  </conditionalFormatting>
  <conditionalFormatting sqref="B5:D5">
    <cfRule type="notContainsBlanks" dxfId="47" priority="17">
      <formula>LEN(TRIM(B5))&gt;0</formula>
    </cfRule>
  </conditionalFormatting>
  <conditionalFormatting sqref="B74:D74">
    <cfRule type="expression" dxfId="46" priority="1">
      <formula>OR($I$4="",$I$6="")</formula>
    </cfRule>
  </conditionalFormatting>
  <conditionalFormatting sqref="D7">
    <cfRule type="notContainsBlanks" dxfId="45" priority="14">
      <formula>LEN(TRIM(D7))&gt;0</formula>
    </cfRule>
  </conditionalFormatting>
  <conditionalFormatting sqref="D9">
    <cfRule type="notContainsBlanks" dxfId="44" priority="13">
      <formula>LEN(TRIM(D9))&gt;0</formula>
    </cfRule>
  </conditionalFormatting>
  <conditionalFormatting sqref="D11">
    <cfRule type="notContainsBlanks" dxfId="43" priority="12">
      <formula>LEN(TRIM(D11))&gt;0</formula>
    </cfRule>
  </conditionalFormatting>
  <conditionalFormatting sqref="D15">
    <cfRule type="expression" dxfId="42" priority="24">
      <formula>$T$15="OUI"</formula>
    </cfRule>
  </conditionalFormatting>
  <conditionalFormatting sqref="D33:D34">
    <cfRule type="notContainsBlanks" dxfId="41" priority="7">
      <formula>LEN(TRIM(D33))&gt;0</formula>
    </cfRule>
  </conditionalFormatting>
  <conditionalFormatting sqref="E15">
    <cfRule type="notContainsBlanks" dxfId="40" priority="11">
      <formula>LEN(TRIM(E15))&gt;0</formula>
    </cfRule>
  </conditionalFormatting>
  <conditionalFormatting sqref="E18">
    <cfRule type="notContainsBlanks" dxfId="39" priority="10">
      <formula>LEN(TRIM(E18))&gt;0</formula>
    </cfRule>
  </conditionalFormatting>
  <conditionalFormatting sqref="F25">
    <cfRule type="notContainsBlanks" dxfId="38" priority="9">
      <formula>LEN(TRIM(F25))&gt;0</formula>
    </cfRule>
  </conditionalFormatting>
  <conditionalFormatting sqref="F30">
    <cfRule type="notContainsBlanks" dxfId="37" priority="8">
      <formula>LEN(TRIM(F30))&gt;0</formula>
    </cfRule>
  </conditionalFormatting>
  <conditionalFormatting sqref="H50:H58">
    <cfRule type="expression" dxfId="36" priority="20">
      <formula>$T$15="OUI"</formula>
    </cfRule>
  </conditionalFormatting>
  <conditionalFormatting sqref="I4">
    <cfRule type="notContainsBlanks" dxfId="35" priority="16">
      <formula>LEN(TRIM(I4))&gt;0</formula>
    </cfRule>
  </conditionalFormatting>
  <conditionalFormatting sqref="I6">
    <cfRule type="notContainsBlanks" dxfId="34" priority="15">
      <formula>LEN(TRIM(I6))&gt;0</formula>
    </cfRule>
  </conditionalFormatting>
  <conditionalFormatting sqref="I56:J56">
    <cfRule type="expression" dxfId="33" priority="18">
      <formula>$T$15="OUI"</formula>
    </cfRule>
  </conditionalFormatting>
  <dataValidations count="1">
    <dataValidation type="list" allowBlank="1" showInputMessage="1" showErrorMessage="1" sqref="M3" xr:uid="{40E592A8-48DE-4611-940E-A87F863BF9A2}">
      <formula1>"BRUT,NET"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6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4413-5271-4F25-90EF-818F4ECE02C9}">
  <sheetPr>
    <tabColor theme="5" tint="-0.249977111117893"/>
    <pageSetUpPr fitToPage="1"/>
  </sheetPr>
  <dimension ref="A1:Z255"/>
  <sheetViews>
    <sheetView showGridLines="0" zoomScale="80" zoomScaleNormal="80" workbookViewId="0">
      <selection activeCell="D13" sqref="D13"/>
    </sheetView>
  </sheetViews>
  <sheetFormatPr baseColWidth="10" defaultRowHeight="15" x14ac:dyDescent="0.25"/>
  <cols>
    <col min="1" max="1" width="20.28515625" style="2" customWidth="1"/>
    <col min="2" max="3" width="11.42578125" style="2"/>
    <col min="4" max="4" width="12.140625" style="2" bestFit="1" customWidth="1"/>
    <col min="5" max="5" width="13" style="2" customWidth="1"/>
    <col min="6" max="6" width="11.42578125" style="2" customWidth="1"/>
    <col min="7" max="7" width="11.42578125" style="2"/>
    <col min="8" max="8" width="13.28515625" style="2" customWidth="1"/>
    <col min="9" max="9" width="19.7109375" style="2" customWidth="1"/>
    <col min="10" max="10" width="11.42578125" style="2"/>
    <col min="11" max="11" width="18.7109375" style="2" customWidth="1"/>
    <col min="12" max="12" width="16.7109375" style="2" customWidth="1"/>
    <col min="13" max="14" width="11.42578125" style="2"/>
    <col min="15" max="26" width="11.42578125" style="11"/>
    <col min="27" max="16384" width="11.42578125" style="2"/>
  </cols>
  <sheetData>
    <row r="1" spans="1:26" ht="23.25" x14ac:dyDescent="0.35">
      <c r="A1" s="84" t="s">
        <v>91</v>
      </c>
    </row>
    <row r="3" spans="1:26" ht="23.25" x14ac:dyDescent="0.35">
      <c r="B3" s="149" t="s">
        <v>27</v>
      </c>
      <c r="C3" s="149"/>
      <c r="D3" s="149"/>
      <c r="E3" s="149"/>
      <c r="F3" s="149"/>
      <c r="G3" s="149"/>
      <c r="H3" s="149"/>
      <c r="I3" s="149"/>
      <c r="J3" s="90" t="s">
        <v>56</v>
      </c>
      <c r="K3" s="56"/>
      <c r="L3" s="56"/>
      <c r="N3" s="56"/>
    </row>
    <row r="4" spans="1:26" ht="15.75" x14ac:dyDescent="0.25">
      <c r="C4" s="170" t="s">
        <v>97</v>
      </c>
      <c r="D4" s="170"/>
      <c r="E4" s="170"/>
      <c r="F4" s="170"/>
      <c r="G4" s="170"/>
      <c r="H4" s="170"/>
      <c r="I4" s="170"/>
      <c r="L4" s="86" t="s">
        <v>58</v>
      </c>
      <c r="M4" s="91" t="s">
        <v>57</v>
      </c>
    </row>
    <row r="5" spans="1:26" s="99" customFormat="1" ht="12.75" x14ac:dyDescent="0.2">
      <c r="C5" s="18"/>
      <c r="D5" s="100"/>
      <c r="E5" s="100"/>
      <c r="F5" s="100"/>
      <c r="G5" s="100"/>
      <c r="H5" s="100"/>
      <c r="M5" s="3">
        <v>45444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99" customFormat="1" ht="12.75" x14ac:dyDescent="0.2">
      <c r="A6" s="99" t="s">
        <v>6</v>
      </c>
      <c r="B6" s="154" t="s">
        <v>89</v>
      </c>
      <c r="C6" s="154"/>
      <c r="D6" s="154"/>
      <c r="H6" s="98" t="s">
        <v>0</v>
      </c>
      <c r="I6" s="146">
        <v>44805</v>
      </c>
      <c r="K6" s="77" t="s">
        <v>1</v>
      </c>
      <c r="L6" s="78" t="s">
        <v>2</v>
      </c>
      <c r="M6" s="78" t="s">
        <v>3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99" customFormat="1" ht="12.75" x14ac:dyDescent="0.2">
      <c r="A7" s="99" t="s">
        <v>7</v>
      </c>
      <c r="B7" s="178" t="s">
        <v>48</v>
      </c>
      <c r="C7" s="179"/>
      <c r="D7" s="180"/>
      <c r="K7" s="77">
        <v>1</v>
      </c>
      <c r="L7" s="3">
        <v>45078</v>
      </c>
      <c r="M7" s="3">
        <v>45443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99" customFormat="1" ht="12.75" x14ac:dyDescent="0.2">
      <c r="E8" s="100"/>
      <c r="H8" s="98" t="s">
        <v>4</v>
      </c>
      <c r="I8" s="96">
        <v>45443</v>
      </c>
      <c r="K8" s="77"/>
      <c r="L8" s="3"/>
      <c r="M8" s="3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99" customFormat="1" ht="12.75" x14ac:dyDescent="0.2">
      <c r="C9" s="98" t="s">
        <v>18</v>
      </c>
      <c r="D9" s="147">
        <v>560</v>
      </c>
      <c r="E9" s="101"/>
      <c r="K9" s="77"/>
      <c r="L9" s="77"/>
      <c r="M9" s="77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99" customFormat="1" ht="12.75" x14ac:dyDescent="0.2">
      <c r="C10" s="98"/>
      <c r="H10" s="98" t="s">
        <v>38</v>
      </c>
      <c r="I10" s="146">
        <v>45444</v>
      </c>
      <c r="K10" s="3">
        <v>45078</v>
      </c>
      <c r="L10" s="79" t="s">
        <v>5</v>
      </c>
      <c r="M10" s="3">
        <v>45413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99" customFormat="1" ht="13.5" thickBot="1" x14ac:dyDescent="0.25">
      <c r="C11" s="98" t="s">
        <v>60</v>
      </c>
      <c r="D11" s="147">
        <v>5</v>
      </c>
      <c r="E11" s="10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99" customFormat="1" ht="13.5" thickTop="1" x14ac:dyDescent="0.2">
      <c r="C12" s="98"/>
      <c r="H12" s="4" t="s">
        <v>28</v>
      </c>
      <c r="I12" s="102"/>
      <c r="J12" s="102"/>
      <c r="K12" s="102"/>
      <c r="L12" s="102"/>
      <c r="M12" s="10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99" customFormat="1" ht="12.75" x14ac:dyDescent="0.2">
      <c r="C13" s="98" t="s">
        <v>19</v>
      </c>
      <c r="D13" s="148">
        <v>42</v>
      </c>
      <c r="H13" s="104"/>
      <c r="M13" s="105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99" customFormat="1" ht="12.75" x14ac:dyDescent="0.2">
      <c r="H14" s="158" t="s">
        <v>89</v>
      </c>
      <c r="I14" s="159"/>
      <c r="J14" s="7"/>
      <c r="K14" s="70">
        <v>800</v>
      </c>
      <c r="L14" s="98" t="s">
        <v>29</v>
      </c>
      <c r="M14" s="106">
        <v>30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99" customFormat="1" ht="12.75" x14ac:dyDescent="0.2">
      <c r="C15" s="98" t="s">
        <v>20</v>
      </c>
      <c r="D15" s="107">
        <v>160</v>
      </c>
      <c r="E15" s="108" t="s">
        <v>61</v>
      </c>
      <c r="H15" s="176"/>
      <c r="I15" s="177"/>
      <c r="K15" s="110"/>
      <c r="L15" s="98" t="s">
        <v>30</v>
      </c>
      <c r="M15" s="111">
        <v>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99" customFormat="1" ht="12.75" x14ac:dyDescent="0.2">
      <c r="H16" s="104"/>
      <c r="J16" s="5"/>
      <c r="K16" s="59"/>
      <c r="L16" s="98"/>
      <c r="M16" s="106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99" customFormat="1" ht="13.5" customHeight="1" thickBot="1" x14ac:dyDescent="0.25">
      <c r="A17" s="184" t="s">
        <v>49</v>
      </c>
      <c r="B17" s="184"/>
      <c r="C17" s="184"/>
      <c r="D17" s="147">
        <v>460</v>
      </c>
      <c r="E17" s="101" t="s">
        <v>61</v>
      </c>
      <c r="H17" s="112"/>
      <c r="I17" s="113"/>
      <c r="J17" s="114"/>
      <c r="K17" s="115"/>
      <c r="L17" s="113"/>
      <c r="M17" s="116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99" customFormat="1" ht="13.5" customHeight="1" thickTop="1" x14ac:dyDescent="0.2">
      <c r="A18" s="184"/>
      <c r="B18" s="184"/>
      <c r="C18" s="184"/>
      <c r="J18" s="98"/>
      <c r="K18" s="110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99" customFormat="1" ht="12.75" x14ac:dyDescent="0.2">
      <c r="J19" s="98"/>
      <c r="K19" s="110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99" customFormat="1" ht="12.75" customHeight="1" x14ac:dyDescent="0.2">
      <c r="A20" s="184" t="s">
        <v>50</v>
      </c>
      <c r="B20" s="184"/>
      <c r="C20" s="184"/>
      <c r="D20" s="148">
        <v>23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99" customFormat="1" ht="12.75" customHeight="1" x14ac:dyDescent="0.2">
      <c r="A21" s="184"/>
      <c r="B21" s="184"/>
      <c r="C21" s="184"/>
      <c r="D21" s="117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99" customFormat="1" ht="12.75" x14ac:dyDescent="0.2">
      <c r="C22" s="98"/>
      <c r="D22" s="117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99" customFormat="1" ht="12.75" x14ac:dyDescent="0.2">
      <c r="C23" s="98"/>
      <c r="D23" s="11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99" customFormat="1" ht="12.75" x14ac:dyDescent="0.2">
      <c r="A24" s="7" t="s">
        <v>21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99" customFormat="1" ht="12.75" x14ac:dyDescent="0.2"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99" customFormat="1" ht="12.75" x14ac:dyDescent="0.2">
      <c r="E26" s="98" t="s">
        <v>52</v>
      </c>
      <c r="F26" s="148">
        <v>42</v>
      </c>
      <c r="H26" s="8" t="s">
        <v>8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99" customFormat="1" ht="12.75" x14ac:dyDescent="0.2">
      <c r="H27" s="77">
        <v>10.5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99" customFormat="1" ht="12.75" x14ac:dyDescent="0.2">
      <c r="E28" s="98" t="s">
        <v>51</v>
      </c>
      <c r="F28" s="118">
        <v>45.83</v>
      </c>
      <c r="H28" s="99" t="s">
        <v>62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99" customFormat="1" ht="12.75" x14ac:dyDescent="0.2">
      <c r="E29" s="98"/>
      <c r="F29" s="117"/>
      <c r="H29" s="99" t="s">
        <v>55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99" customFormat="1" ht="12.75" x14ac:dyDescent="0.2">
      <c r="E30" s="98"/>
      <c r="H30" s="99" t="s">
        <v>59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99" customFormat="1" ht="12.75" x14ac:dyDescent="0.2">
      <c r="A31" s="77"/>
      <c r="B31" s="77"/>
      <c r="C31" s="77"/>
      <c r="D31" s="17"/>
      <c r="E31" s="16" t="s">
        <v>86</v>
      </c>
      <c r="F31" s="14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99" customFormat="1" ht="12.75" x14ac:dyDescent="0.2">
      <c r="E32" s="98"/>
      <c r="F32" s="119"/>
      <c r="H32" s="99" t="s">
        <v>63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99" customFormat="1" ht="12.75" x14ac:dyDescent="0.2">
      <c r="H33" s="99" t="s">
        <v>64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99" customFormat="1" ht="12.75" x14ac:dyDescent="0.2">
      <c r="C34" s="98" t="s">
        <v>9</v>
      </c>
      <c r="D34" s="148">
        <v>2</v>
      </c>
      <c r="E34" s="98" t="s">
        <v>10</v>
      </c>
      <c r="F34" s="119">
        <v>1</v>
      </c>
      <c r="H34" s="99" t="s">
        <v>65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99" customFormat="1" ht="12.75" x14ac:dyDescent="0.2">
      <c r="A35" s="185" t="s">
        <v>32</v>
      </c>
      <c r="B35" s="185"/>
      <c r="C35" s="185"/>
      <c r="H35" s="99" t="s">
        <v>66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99" customFormat="1" ht="12.75" x14ac:dyDescent="0.2">
      <c r="C36" s="9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99" customFormat="1" ht="12.75" x14ac:dyDescent="0.2">
      <c r="C37" s="98" t="s">
        <v>33</v>
      </c>
      <c r="D37" s="120">
        <v>11.4575</v>
      </c>
      <c r="E37" s="121" t="s">
        <v>12</v>
      </c>
      <c r="F37" s="122">
        <v>11.46</v>
      </c>
      <c r="H37" s="99" t="s">
        <v>87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s="99" customFormat="1" ht="12.75" x14ac:dyDescent="0.2">
      <c r="H38" s="99" t="s">
        <v>90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99" customFormat="1" ht="12.75" x14ac:dyDescent="0.2">
      <c r="C39" s="98" t="s">
        <v>34</v>
      </c>
      <c r="D39" s="118">
        <v>29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99" customFormat="1" ht="12.75" x14ac:dyDescent="0.2">
      <c r="H40" s="99" t="s">
        <v>22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99" customFormat="1" ht="12.75" x14ac:dyDescent="0.2">
      <c r="C41" s="98" t="s">
        <v>11</v>
      </c>
      <c r="D41" s="118">
        <v>30.650000000000002</v>
      </c>
      <c r="E41" s="121" t="s">
        <v>12</v>
      </c>
      <c r="F41" s="123">
        <v>30</v>
      </c>
      <c r="H41" s="99" t="s">
        <v>67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99" customFormat="1" ht="12.75" x14ac:dyDescent="0.2">
      <c r="H42" s="99" t="s">
        <v>68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99" customFormat="1" ht="12.75" x14ac:dyDescent="0.2">
      <c r="A43" s="186" t="s">
        <v>23</v>
      </c>
      <c r="B43" s="187"/>
      <c r="C43" s="188"/>
      <c r="D43" s="61">
        <v>800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99" customFormat="1" ht="12.75" x14ac:dyDescent="0.2"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99" customFormat="1" ht="12.75" x14ac:dyDescent="0.2">
      <c r="A45" s="7" t="s">
        <v>13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99" customFormat="1" ht="12.75" x14ac:dyDescent="0.2"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99" customFormat="1" ht="12.75" x14ac:dyDescent="0.2">
      <c r="A47" s="99" t="s">
        <v>14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99" customFormat="1" ht="51" x14ac:dyDescent="0.2">
      <c r="B48" s="124" t="s">
        <v>24</v>
      </c>
      <c r="C48" s="125" t="s">
        <v>88</v>
      </c>
      <c r="D48" s="125" t="s">
        <v>15</v>
      </c>
      <c r="E48" s="126"/>
      <c r="F48" s="126"/>
      <c r="H48" s="8" t="s">
        <v>8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99" customFormat="1" ht="12.75" x14ac:dyDescent="0.2">
      <c r="A49" s="127">
        <v>153</v>
      </c>
      <c r="B49" s="147">
        <v>560</v>
      </c>
      <c r="C49" s="147"/>
      <c r="D49" s="128">
        <v>56</v>
      </c>
      <c r="E49" s="129"/>
      <c r="F49" s="129"/>
      <c r="H49" s="99" t="s">
        <v>16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99" customFormat="1" ht="12.75" x14ac:dyDescent="0.2">
      <c r="A50" s="127">
        <v>183</v>
      </c>
      <c r="B50" s="147">
        <v>560</v>
      </c>
      <c r="C50" s="147"/>
      <c r="D50" s="128">
        <v>56</v>
      </c>
      <c r="E50" s="129"/>
      <c r="F50" s="129"/>
      <c r="H50" s="99" t="s">
        <v>54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99" customFormat="1" ht="12.75" x14ac:dyDescent="0.2">
      <c r="A51" s="127">
        <v>214</v>
      </c>
      <c r="B51" s="147">
        <v>560</v>
      </c>
      <c r="C51" s="147"/>
      <c r="D51" s="128">
        <v>56</v>
      </c>
      <c r="E51" s="129"/>
      <c r="F51" s="129"/>
      <c r="H51" s="99" t="s">
        <v>69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99" customFormat="1" x14ac:dyDescent="0.25">
      <c r="A52" s="127">
        <v>245</v>
      </c>
      <c r="B52" s="147">
        <v>560</v>
      </c>
      <c r="C52" s="147"/>
      <c r="D52" s="128">
        <v>56</v>
      </c>
      <c r="E52" s="129"/>
      <c r="F52" s="129"/>
      <c r="H52" s="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99" customFormat="1" ht="12.75" x14ac:dyDescent="0.2">
      <c r="A53" s="127">
        <v>275</v>
      </c>
      <c r="B53" s="147">
        <v>560</v>
      </c>
      <c r="C53" s="147"/>
      <c r="D53" s="128">
        <v>56</v>
      </c>
      <c r="E53" s="129"/>
      <c r="F53" s="129"/>
      <c r="H53" s="99" t="s">
        <v>70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99" customFormat="1" x14ac:dyDescent="0.25">
      <c r="A54" s="127">
        <v>306</v>
      </c>
      <c r="B54" s="147">
        <v>560</v>
      </c>
      <c r="C54" s="147"/>
      <c r="D54" s="128">
        <v>56</v>
      </c>
      <c r="E54" s="129"/>
      <c r="F54" s="129"/>
      <c r="H54" s="2"/>
      <c r="M54" s="130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99" customFormat="1" ht="12.75" x14ac:dyDescent="0.2">
      <c r="A55" s="127">
        <v>336</v>
      </c>
      <c r="B55" s="147">
        <v>560</v>
      </c>
      <c r="C55" s="147"/>
      <c r="D55" s="128">
        <v>56</v>
      </c>
      <c r="E55" s="129"/>
      <c r="F55" s="129"/>
      <c r="H55" s="99" t="s">
        <v>35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99" customFormat="1" ht="12.75" x14ac:dyDescent="0.2">
      <c r="A56" s="127">
        <v>367</v>
      </c>
      <c r="B56" s="147">
        <v>560</v>
      </c>
      <c r="C56" s="147"/>
      <c r="D56" s="128">
        <v>56</v>
      </c>
      <c r="E56" s="129"/>
      <c r="F56" s="129"/>
      <c r="H56" s="99" t="s">
        <v>36</v>
      </c>
      <c r="I56" s="98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99" customFormat="1" x14ac:dyDescent="0.25">
      <c r="A57" s="127">
        <v>398</v>
      </c>
      <c r="B57" s="147">
        <v>560</v>
      </c>
      <c r="C57" s="147"/>
      <c r="D57" s="128">
        <v>56</v>
      </c>
      <c r="E57" s="129"/>
      <c r="F57" s="129"/>
      <c r="H57" s="2"/>
      <c r="I57" s="98" t="s">
        <v>71</v>
      </c>
      <c r="J57" s="99" t="s">
        <v>72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99" customFormat="1" x14ac:dyDescent="0.25">
      <c r="A58" s="127">
        <v>426</v>
      </c>
      <c r="B58" s="147">
        <v>560</v>
      </c>
      <c r="C58" s="147"/>
      <c r="D58" s="128">
        <v>56</v>
      </c>
      <c r="E58" s="129"/>
      <c r="F58" s="129"/>
      <c r="H58" s="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99" customFormat="1" ht="12.75" x14ac:dyDescent="0.2">
      <c r="A59" s="127">
        <v>457</v>
      </c>
      <c r="B59" s="147">
        <v>560</v>
      </c>
      <c r="C59" s="147"/>
      <c r="D59" s="128">
        <v>56</v>
      </c>
      <c r="E59" s="129"/>
      <c r="F59" s="129"/>
      <c r="H59" s="99" t="s">
        <v>73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99" customFormat="1" ht="12.75" x14ac:dyDescent="0.2">
      <c r="A60" s="127">
        <v>487</v>
      </c>
      <c r="B60" s="147">
        <v>560</v>
      </c>
      <c r="C60" s="147"/>
      <c r="D60" s="128">
        <v>56</v>
      </c>
      <c r="E60" s="129"/>
      <c r="F60" s="129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99" customFormat="1" ht="12.75" x14ac:dyDescent="0.2">
      <c r="C61" s="98" t="s">
        <v>17</v>
      </c>
      <c r="D61" s="131">
        <v>672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99" customFormat="1" ht="12.75" x14ac:dyDescent="0.2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99" customFormat="1" ht="12.75" x14ac:dyDescent="0.2">
      <c r="A63" s="177" t="s">
        <v>53</v>
      </c>
      <c r="B63" s="177"/>
      <c r="C63" s="177"/>
      <c r="D63" s="131">
        <v>46</v>
      </c>
      <c r="F63" s="101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99" customFormat="1" ht="12.75" x14ac:dyDescent="0.2">
      <c r="E64" s="98"/>
      <c r="F64" s="101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99" customFormat="1" ht="12.75" x14ac:dyDescent="0.2">
      <c r="C65" s="98" t="s">
        <v>37</v>
      </c>
      <c r="D65" s="132">
        <v>24.758620689655171</v>
      </c>
      <c r="F65" s="10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99" customFormat="1" ht="12.75" x14ac:dyDescent="0.2"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99" customFormat="1" ht="12.75" x14ac:dyDescent="0.2">
      <c r="A67" s="189" t="s">
        <v>25</v>
      </c>
      <c r="B67" s="189"/>
      <c r="C67" s="189"/>
      <c r="D67" s="61">
        <v>742.76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99" customFormat="1" ht="13.5" thickBot="1" x14ac:dyDescent="0.25"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99" customFormat="1" ht="13.5" thickBot="1" x14ac:dyDescent="0.25">
      <c r="A69" s="167" t="s">
        <v>26</v>
      </c>
      <c r="B69" s="168"/>
      <c r="C69" s="168"/>
      <c r="D69" s="168"/>
      <c r="E69" s="168"/>
      <c r="F69" s="169"/>
      <c r="G69" s="62">
        <v>800</v>
      </c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99" customFormat="1" ht="13.5" thickBot="1" x14ac:dyDescent="0.25">
      <c r="A70" s="181"/>
      <c r="B70" s="182"/>
      <c r="C70" s="182"/>
      <c r="D70" s="182"/>
      <c r="E70" s="182"/>
      <c r="F70" s="183"/>
      <c r="G70" s="137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99" customFormat="1" ht="12.75" x14ac:dyDescent="0.2"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99" customFormat="1" ht="12.75" x14ac:dyDescent="0.2"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99" customFormat="1" ht="12.75" x14ac:dyDescent="0.2">
      <c r="A73" s="9"/>
      <c r="B73" s="9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99" customFormat="1" ht="12.75" x14ac:dyDescent="0.2">
      <c r="A74" s="9"/>
      <c r="B74" s="9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99" customFormat="1" ht="12.75" x14ac:dyDescent="0.2">
      <c r="C75" s="100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99" customFormat="1" ht="12.75" x14ac:dyDescent="0.2">
      <c r="A76" s="138"/>
      <c r="B76" s="130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99" customFormat="1" ht="12.75" x14ac:dyDescent="0.2">
      <c r="A77" s="138"/>
      <c r="B77" s="130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99" customFormat="1" ht="12.75" x14ac:dyDescent="0.2">
      <c r="A78" s="138"/>
      <c r="B78" s="130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99" customFormat="1" ht="12.75" x14ac:dyDescent="0.2">
      <c r="A79" s="138"/>
      <c r="B79" s="130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99" customFormat="1" ht="12.75" x14ac:dyDescent="0.2">
      <c r="A80" s="138"/>
      <c r="B80" s="130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99" customFormat="1" ht="12.75" x14ac:dyDescent="0.2">
      <c r="A81" s="138"/>
      <c r="B81" s="130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99" customFormat="1" ht="12.75" x14ac:dyDescent="0.2">
      <c r="A82" s="138"/>
      <c r="B82" s="130"/>
      <c r="E82" s="101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99" customFormat="1" ht="12.75" x14ac:dyDescent="0.2">
      <c r="A83" s="138"/>
      <c r="B83" s="130"/>
      <c r="E83" s="101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99" customFormat="1" ht="12.75" x14ac:dyDescent="0.2">
      <c r="A84" s="138"/>
      <c r="B84" s="130"/>
      <c r="E84" s="101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99" customFormat="1" ht="12.75" x14ac:dyDescent="0.2">
      <c r="A85" s="138"/>
      <c r="B85" s="130"/>
      <c r="E85" s="101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99" customFormat="1" ht="12.75" x14ac:dyDescent="0.2">
      <c r="A86" s="138"/>
      <c r="B86" s="130"/>
      <c r="E86" s="101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99" customFormat="1" ht="12.75" x14ac:dyDescent="0.2">
      <c r="A87" s="138"/>
      <c r="B87" s="130"/>
      <c r="E87" s="101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99" customFormat="1" ht="12.75" x14ac:dyDescent="0.2"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99" customFormat="1" ht="12.75" x14ac:dyDescent="0.2">
      <c r="C89" s="98"/>
      <c r="D89" s="110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99" customFormat="1" ht="12.75" x14ac:dyDescent="0.2"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99" customFormat="1" ht="12.75" x14ac:dyDescent="0.2">
      <c r="C91" s="98"/>
      <c r="D91" s="110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99" customFormat="1" ht="12.75" x14ac:dyDescent="0.2"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99" customFormat="1" ht="12.75" x14ac:dyDescent="0.2">
      <c r="C93" s="98"/>
      <c r="D93" s="70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99" customFormat="1" ht="12.75" x14ac:dyDescent="0.2"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99" customFormat="1" ht="12.75" x14ac:dyDescent="0.2"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99" customFormat="1" ht="12.75" x14ac:dyDescent="0.2"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5:26" s="99" customFormat="1" ht="12.75" x14ac:dyDescent="0.2"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5:26" s="99" customFormat="1" ht="12.75" x14ac:dyDescent="0.2"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5:26" s="99" customFormat="1" ht="12.75" x14ac:dyDescent="0.2"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5:26" s="99" customFormat="1" ht="12.75" x14ac:dyDescent="0.2"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5:26" s="99" customFormat="1" ht="12.75" x14ac:dyDescent="0.2"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5:26" s="99" customFormat="1" ht="12.75" x14ac:dyDescent="0.2"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5:26" s="99" customFormat="1" ht="12.75" x14ac:dyDescent="0.2"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5:26" s="99" customFormat="1" ht="12.75" x14ac:dyDescent="0.2"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5:26" s="99" customFormat="1" ht="12.75" x14ac:dyDescent="0.2"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5:26" s="99" customFormat="1" ht="12.75" x14ac:dyDescent="0.2"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5:26" s="99" customFormat="1" ht="12.75" x14ac:dyDescent="0.2"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5:26" s="99" customFormat="1" ht="12.75" x14ac:dyDescent="0.2"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5:26" s="99" customFormat="1" ht="12.75" x14ac:dyDescent="0.2"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5:26" s="99" customFormat="1" ht="12.75" x14ac:dyDescent="0.2"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5:26" s="99" customFormat="1" ht="12.75" x14ac:dyDescent="0.2"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5:26" s="99" customFormat="1" ht="12.75" x14ac:dyDescent="0.2"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5:26" s="99" customFormat="1" ht="12.75" x14ac:dyDescent="0.2"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5:26" s="99" customFormat="1" ht="12.75" x14ac:dyDescent="0.2"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5:26" s="99" customFormat="1" ht="12.75" x14ac:dyDescent="0.2"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5:26" s="99" customFormat="1" ht="12.75" x14ac:dyDescent="0.2"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5:26" s="99" customFormat="1" ht="12.75" x14ac:dyDescent="0.2"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5:26" s="99" customFormat="1" ht="12.75" x14ac:dyDescent="0.2"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5:26" s="99" customFormat="1" ht="12.75" x14ac:dyDescent="0.2"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5:26" s="99" customFormat="1" ht="12.75" x14ac:dyDescent="0.2"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5:26" s="99" customFormat="1" ht="12.75" x14ac:dyDescent="0.2"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5:26" s="99" customFormat="1" ht="12.75" x14ac:dyDescent="0.2"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5:26" s="99" customFormat="1" ht="12.75" x14ac:dyDescent="0.2"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5:26" s="99" customFormat="1" ht="12.75" x14ac:dyDescent="0.2"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5:26" s="99" customFormat="1" ht="12.75" x14ac:dyDescent="0.2"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5:26" s="99" customFormat="1" ht="12.75" x14ac:dyDescent="0.2"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5:26" s="99" customFormat="1" ht="12.75" x14ac:dyDescent="0.2"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5:26" s="99" customFormat="1" ht="12.75" x14ac:dyDescent="0.2"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5:26" s="99" customFormat="1" ht="12.75" x14ac:dyDescent="0.2"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5:26" s="99" customFormat="1" ht="12.75" x14ac:dyDescent="0.2"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5:26" s="99" customFormat="1" ht="12.75" x14ac:dyDescent="0.2"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5:26" s="99" customFormat="1" ht="12.75" x14ac:dyDescent="0.2"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5:26" s="99" customFormat="1" ht="12.75" x14ac:dyDescent="0.2"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5:26" s="99" customFormat="1" ht="12.75" x14ac:dyDescent="0.2"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5:26" s="99" customFormat="1" ht="12.75" x14ac:dyDescent="0.2"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5:26" s="99" customFormat="1" ht="12.75" x14ac:dyDescent="0.2"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5:26" s="99" customFormat="1" ht="12.75" x14ac:dyDescent="0.2"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5:26" s="99" customFormat="1" ht="12.75" x14ac:dyDescent="0.2"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5:26" s="99" customFormat="1" ht="12.75" x14ac:dyDescent="0.2"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5:26" s="99" customFormat="1" ht="12.75" x14ac:dyDescent="0.2"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5:26" s="99" customFormat="1" ht="12.75" x14ac:dyDescent="0.2"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5:26" s="99" customFormat="1" ht="12.75" x14ac:dyDescent="0.2"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5:26" s="99" customFormat="1" ht="12.75" x14ac:dyDescent="0.2"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5:26" s="99" customFormat="1" ht="12.75" x14ac:dyDescent="0.2"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5:26" s="99" customFormat="1" ht="12.75" x14ac:dyDescent="0.2"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5:26" s="99" customFormat="1" ht="12.75" x14ac:dyDescent="0.2"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5:26" s="99" customFormat="1" ht="12.75" x14ac:dyDescent="0.2"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5:26" s="99" customFormat="1" ht="12.75" x14ac:dyDescent="0.2"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5:26" s="99" customFormat="1" ht="12.75" x14ac:dyDescent="0.2"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5:26" s="99" customFormat="1" ht="12.75" x14ac:dyDescent="0.2"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5:26" s="99" customFormat="1" ht="12.75" x14ac:dyDescent="0.2"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5:26" s="99" customFormat="1" ht="12.75" x14ac:dyDescent="0.2"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5:26" s="99" customFormat="1" ht="12.75" x14ac:dyDescent="0.2"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5:26" s="99" customFormat="1" ht="12.75" x14ac:dyDescent="0.2"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5:26" s="99" customFormat="1" ht="12.75" x14ac:dyDescent="0.2"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5:26" s="99" customFormat="1" ht="12.75" x14ac:dyDescent="0.2"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5:26" s="99" customFormat="1" ht="12.75" x14ac:dyDescent="0.2"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5:26" s="99" customFormat="1" ht="12.75" x14ac:dyDescent="0.2"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5:26" s="99" customFormat="1" ht="12.75" x14ac:dyDescent="0.2"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5:26" s="99" customFormat="1" ht="12.75" x14ac:dyDescent="0.2"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5:26" s="99" customFormat="1" ht="12.75" x14ac:dyDescent="0.2"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5:26" s="99" customFormat="1" ht="12.75" x14ac:dyDescent="0.2"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5:26" s="99" customFormat="1" ht="12.75" x14ac:dyDescent="0.2"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5:26" s="99" customFormat="1" ht="12.75" x14ac:dyDescent="0.2"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5:26" s="99" customFormat="1" ht="12.75" x14ac:dyDescent="0.2"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5:26" s="99" customFormat="1" ht="12.75" x14ac:dyDescent="0.2"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5:26" s="99" customFormat="1" ht="12.75" x14ac:dyDescent="0.2"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5:26" s="99" customFormat="1" ht="12.75" x14ac:dyDescent="0.2"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5:26" s="99" customFormat="1" ht="12.75" x14ac:dyDescent="0.2"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5:26" s="99" customFormat="1" ht="12.75" x14ac:dyDescent="0.2"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5:26" s="99" customFormat="1" ht="12.75" x14ac:dyDescent="0.2"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5:26" s="99" customFormat="1" ht="12.75" x14ac:dyDescent="0.2"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5:26" s="99" customFormat="1" ht="12.75" x14ac:dyDescent="0.2"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5:26" s="99" customFormat="1" ht="12.75" x14ac:dyDescent="0.2"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5:26" s="99" customFormat="1" ht="12.75" x14ac:dyDescent="0.2"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5:26" s="99" customFormat="1" ht="12.75" x14ac:dyDescent="0.2"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5:26" s="99" customFormat="1" ht="12.75" x14ac:dyDescent="0.2"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5:26" s="99" customFormat="1" ht="12.75" x14ac:dyDescent="0.2"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5:26" s="99" customFormat="1" ht="12.75" x14ac:dyDescent="0.2"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5:26" s="99" customFormat="1" ht="12.75" x14ac:dyDescent="0.2"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5:26" s="99" customFormat="1" ht="12.75" x14ac:dyDescent="0.2"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5:26" s="99" customFormat="1" ht="12.75" x14ac:dyDescent="0.2"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5:26" s="99" customFormat="1" ht="12.75" x14ac:dyDescent="0.2"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5:26" s="99" customFormat="1" ht="12.75" x14ac:dyDescent="0.2"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5:26" s="99" customFormat="1" ht="12.75" x14ac:dyDescent="0.2"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5:26" s="99" customFormat="1" ht="12.75" x14ac:dyDescent="0.2"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5:26" s="99" customFormat="1" ht="12.75" x14ac:dyDescent="0.2"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5:26" s="99" customFormat="1" ht="12.75" x14ac:dyDescent="0.2"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5:26" s="99" customFormat="1" ht="12.75" x14ac:dyDescent="0.2"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5:26" s="99" customFormat="1" ht="12.75" x14ac:dyDescent="0.2"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5:26" s="19" customFormat="1" ht="12.75" x14ac:dyDescent="0.2"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5:26" s="19" customFormat="1" ht="12.75" x14ac:dyDescent="0.2"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5:26" s="19" customFormat="1" ht="12.75" x14ac:dyDescent="0.2"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5:26" s="19" customFormat="1" ht="12.75" x14ac:dyDescent="0.2"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5:26" s="19" customFormat="1" ht="12.75" x14ac:dyDescent="0.2"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5:26" s="19" customFormat="1" ht="12.75" x14ac:dyDescent="0.2"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5:26" s="19" customFormat="1" ht="12.75" x14ac:dyDescent="0.2"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5:26" s="19" customFormat="1" ht="12.75" x14ac:dyDescent="0.2"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5:26" s="19" customFormat="1" ht="12.75" x14ac:dyDescent="0.2"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5:26" s="19" customFormat="1" ht="12.75" x14ac:dyDescent="0.2"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5:26" s="19" customFormat="1" ht="12.75" x14ac:dyDescent="0.2"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5:26" s="19" customFormat="1" ht="12.75" x14ac:dyDescent="0.2"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5:26" s="19" customFormat="1" ht="12.75" x14ac:dyDescent="0.2"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5:26" s="19" customFormat="1" ht="12.75" x14ac:dyDescent="0.2"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5:26" s="19" customFormat="1" ht="12.75" x14ac:dyDescent="0.2"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5:26" s="19" customFormat="1" ht="12.75" x14ac:dyDescent="0.2"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5:26" s="19" customFormat="1" ht="12.75" x14ac:dyDescent="0.2"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5:26" s="19" customFormat="1" ht="12.75" x14ac:dyDescent="0.2"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5:26" s="19" customFormat="1" ht="12.75" x14ac:dyDescent="0.2"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5:26" s="19" customFormat="1" ht="12.75" x14ac:dyDescent="0.2"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5:26" s="19" customFormat="1" ht="12.75" x14ac:dyDescent="0.2"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5:26" s="19" customFormat="1" ht="12.75" x14ac:dyDescent="0.2"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5:26" s="19" customFormat="1" ht="12.75" x14ac:dyDescent="0.2"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5:26" s="19" customFormat="1" ht="12.75" x14ac:dyDescent="0.2"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5:26" s="19" customFormat="1" ht="12.75" x14ac:dyDescent="0.2"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5:26" s="19" customFormat="1" ht="12.75" x14ac:dyDescent="0.2"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5:26" s="19" customFormat="1" ht="12.75" x14ac:dyDescent="0.2"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5:26" s="19" customFormat="1" ht="12.75" x14ac:dyDescent="0.2"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5:26" s="19" customFormat="1" ht="12.75" x14ac:dyDescent="0.2"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5:26" s="19" customFormat="1" ht="12.75" x14ac:dyDescent="0.2"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5:26" s="19" customFormat="1" ht="12.75" x14ac:dyDescent="0.2"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5:26" s="19" customFormat="1" ht="12.75" x14ac:dyDescent="0.2"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5:26" s="19" customFormat="1" ht="12.75" x14ac:dyDescent="0.2"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5:26" s="19" customFormat="1" ht="12.75" x14ac:dyDescent="0.2"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5:26" s="19" customFormat="1" ht="12.75" x14ac:dyDescent="0.2"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5:26" s="19" customFormat="1" ht="12.75" x14ac:dyDescent="0.2"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5:26" s="19" customFormat="1" ht="12.75" x14ac:dyDescent="0.2"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5:26" s="19" customFormat="1" ht="12.75" x14ac:dyDescent="0.2"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5:26" s="19" customFormat="1" ht="12.75" x14ac:dyDescent="0.2"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5:26" s="19" customFormat="1" ht="12.75" x14ac:dyDescent="0.2"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5:26" s="19" customFormat="1" ht="12.75" x14ac:dyDescent="0.2"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5:26" s="19" customFormat="1" ht="12.75" x14ac:dyDescent="0.2"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5:26" s="19" customFormat="1" ht="12.75" x14ac:dyDescent="0.2"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5:26" s="19" customFormat="1" ht="12.75" x14ac:dyDescent="0.2"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5:26" s="19" customFormat="1" ht="12.75" x14ac:dyDescent="0.2"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5:26" s="19" customFormat="1" ht="12.75" x14ac:dyDescent="0.2"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5:26" s="19" customFormat="1" ht="12.75" x14ac:dyDescent="0.2"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5:26" s="19" customFormat="1" ht="12.75" x14ac:dyDescent="0.2"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5:26" s="19" customFormat="1" ht="12.75" x14ac:dyDescent="0.2"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5:26" s="19" customFormat="1" ht="12.75" x14ac:dyDescent="0.2"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8:26" s="19" customFormat="1" ht="12.75" x14ac:dyDescent="0.2"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8:26" s="19" customFormat="1" ht="12.75" x14ac:dyDescent="0.2"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8:26" s="19" customFormat="1" ht="12.75" x14ac:dyDescent="0.2"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8:26" s="19" customFormat="1" ht="12.75" x14ac:dyDescent="0.2"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8:26" s="19" customFormat="1" ht="12.75" x14ac:dyDescent="0.2"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8:26" s="19" customFormat="1" ht="12.75" x14ac:dyDescent="0.2"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8:26" s="19" customFormat="1" ht="12.75" x14ac:dyDescent="0.2"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8:26" s="19" customFormat="1" ht="12.75" x14ac:dyDescent="0.2"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8:26" s="19" customFormat="1" ht="12.75" x14ac:dyDescent="0.2"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8:26" s="19" customFormat="1" ht="12.75" x14ac:dyDescent="0.2"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8:26" s="19" customFormat="1" ht="12.75" x14ac:dyDescent="0.2"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8:26" s="19" customFormat="1" ht="12.75" x14ac:dyDescent="0.2"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8:26" s="19" customFormat="1" ht="12.75" x14ac:dyDescent="0.2"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8:26" s="19" customFormat="1" ht="12.75" x14ac:dyDescent="0.2"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8:26" s="19" customFormat="1" x14ac:dyDescent="0.25">
      <c r="H255" s="2"/>
      <c r="I255" s="2"/>
      <c r="J255" s="2"/>
      <c r="K255" s="2"/>
      <c r="L255" s="2"/>
      <c r="M255" s="2"/>
      <c r="N255" s="2"/>
      <c r="O255" s="11"/>
      <c r="P255" s="11"/>
      <c r="Q255" s="11"/>
      <c r="R255" s="11"/>
      <c r="S255" s="11"/>
      <c r="T255" s="11"/>
      <c r="U255" s="12"/>
      <c r="V255" s="12"/>
      <c r="W255" s="12"/>
      <c r="X255" s="12"/>
      <c r="Y255" s="12"/>
      <c r="Z255" s="12"/>
    </row>
  </sheetData>
  <sheetProtection algorithmName="SHA-512" hashValue="HZ/rZeW2qNCzaekLkm4j/EsZ4D6Qk/PNVNumig8DckYtT5sYRpsR9lGcse1hzHZ6lx8jRoMIAhQwwpE15bFztw==" saltValue="C4a58EOc6Y1V7exQQws1wg==" spinCount="100000" sheet="1" formatCells="0" formatColumns="0" formatRows="0" insertColumns="0" insertRows="0" sort="0" autoFilter="0" pivotTables="0"/>
  <mergeCells count="14">
    <mergeCell ref="A69:F69"/>
    <mergeCell ref="A70:F70"/>
    <mergeCell ref="A17:C18"/>
    <mergeCell ref="A20:C21"/>
    <mergeCell ref="A35:C35"/>
    <mergeCell ref="A43:C43"/>
    <mergeCell ref="A63:C63"/>
    <mergeCell ref="A67:C67"/>
    <mergeCell ref="H15:I15"/>
    <mergeCell ref="B3:I3"/>
    <mergeCell ref="C4:I4"/>
    <mergeCell ref="B6:D6"/>
    <mergeCell ref="B7:D7"/>
    <mergeCell ref="H14:I14"/>
  </mergeCells>
  <conditionalFormatting sqref="A17:C21">
    <cfRule type="expression" dxfId="32" priority="15">
      <formula>$T$15="OUI"</formula>
    </cfRule>
  </conditionalFormatting>
  <conditionalFormatting sqref="A63:D63">
    <cfRule type="expression" dxfId="31" priority="14">
      <formula>$T$15="OUI"</formula>
    </cfRule>
  </conditionalFormatting>
  <conditionalFormatting sqref="B49:C60">
    <cfRule type="notContainsBlanks" dxfId="30" priority="1">
      <formula>LEN(TRIM(B49))&gt;0</formula>
    </cfRule>
  </conditionalFormatting>
  <conditionalFormatting sqref="B7:D7">
    <cfRule type="notContainsBlanks" dxfId="29" priority="16">
      <formula>LEN(TRIM(B7))&gt;0</formula>
    </cfRule>
  </conditionalFormatting>
  <conditionalFormatting sqref="D9">
    <cfRule type="notContainsBlanks" dxfId="28" priority="9">
      <formula>LEN(TRIM(D9))&gt;0</formula>
    </cfRule>
  </conditionalFormatting>
  <conditionalFormatting sqref="D11">
    <cfRule type="notContainsBlanks" dxfId="27" priority="8">
      <formula>LEN(TRIM(D11))&gt;0</formula>
    </cfRule>
  </conditionalFormatting>
  <conditionalFormatting sqref="D13">
    <cfRule type="notContainsBlanks" dxfId="26" priority="7">
      <formula>LEN(TRIM(D13))&gt;0</formula>
    </cfRule>
  </conditionalFormatting>
  <conditionalFormatting sqref="D17">
    <cfRule type="notContainsBlanks" dxfId="25" priority="6">
      <formula>LEN(TRIM(D17))&gt;0</formula>
    </cfRule>
  </conditionalFormatting>
  <conditionalFormatting sqref="D20">
    <cfRule type="notContainsBlanks" dxfId="24" priority="5">
      <formula>LEN(TRIM(D20))&gt;0</formula>
    </cfRule>
  </conditionalFormatting>
  <conditionalFormatting sqref="D34">
    <cfRule type="notContainsBlanks" dxfId="23" priority="2">
      <formula>LEN(TRIM(D34))&gt;0</formula>
    </cfRule>
  </conditionalFormatting>
  <conditionalFormatting sqref="F26">
    <cfRule type="notContainsBlanks" dxfId="22" priority="4">
      <formula>LEN(TRIM(F26))&gt;0</formula>
    </cfRule>
  </conditionalFormatting>
  <conditionalFormatting sqref="F31">
    <cfRule type="notContainsBlanks" dxfId="21" priority="3">
      <formula>LEN(TRIM(F31))&gt;0</formula>
    </cfRule>
  </conditionalFormatting>
  <conditionalFormatting sqref="H51:H59">
    <cfRule type="expression" dxfId="20" priority="13">
      <formula>$T$15="OUI"</formula>
    </cfRule>
  </conditionalFormatting>
  <conditionalFormatting sqref="I6">
    <cfRule type="notContainsBlanks" dxfId="19" priority="11">
      <formula>LEN(TRIM(I6))&gt;0</formula>
    </cfRule>
  </conditionalFormatting>
  <conditionalFormatting sqref="I10">
    <cfRule type="notContainsBlanks" dxfId="18" priority="10">
      <formula>LEN(TRIM(I10))&gt;0</formula>
    </cfRule>
  </conditionalFormatting>
  <conditionalFormatting sqref="I57:J57">
    <cfRule type="expression" dxfId="17" priority="12">
      <formula>$T$15="OUI"</formula>
    </cfRule>
  </conditionalFormatting>
  <dataValidations count="1">
    <dataValidation type="list" allowBlank="1" showInputMessage="1" showErrorMessage="1" sqref="M4" xr:uid="{875BECB3-ADB4-4632-B6DA-3DF7BE447D0C}">
      <formula1>"BRUT,NET"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1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5A75-764C-453E-ABCD-91288D5B759A}">
  <sheetPr>
    <tabColor theme="5" tint="-0.249977111117893"/>
    <pageSetUpPr fitToPage="1"/>
  </sheetPr>
  <dimension ref="A1:AA222"/>
  <sheetViews>
    <sheetView showGridLines="0" zoomScale="80" zoomScaleNormal="80" workbookViewId="0">
      <selection activeCell="F31" sqref="F31"/>
    </sheetView>
  </sheetViews>
  <sheetFormatPr baseColWidth="10" defaultRowHeight="15" x14ac:dyDescent="0.25"/>
  <cols>
    <col min="1" max="1" width="22.7109375" style="2" customWidth="1"/>
    <col min="2" max="2" width="13.28515625" style="2" customWidth="1"/>
    <col min="3" max="3" width="14.42578125" style="2" customWidth="1"/>
    <col min="4" max="4" width="12.28515625" style="2" customWidth="1"/>
    <col min="5" max="5" width="12.5703125" style="2" customWidth="1"/>
    <col min="6" max="7" width="11.42578125" style="2"/>
    <col min="8" max="8" width="13.28515625" style="2" customWidth="1"/>
    <col min="9" max="9" width="16" style="2" customWidth="1"/>
    <col min="10" max="10" width="11.42578125" style="2"/>
    <col min="11" max="11" width="18.7109375" style="2" customWidth="1"/>
    <col min="12" max="16384" width="11.42578125" style="2"/>
  </cols>
  <sheetData>
    <row r="1" spans="1:18" ht="23.25" x14ac:dyDescent="0.35">
      <c r="A1" s="84" t="s">
        <v>96</v>
      </c>
    </row>
    <row r="3" spans="1:18" ht="25.5" customHeight="1" x14ac:dyDescent="0.35">
      <c r="B3" s="1" t="s">
        <v>39</v>
      </c>
    </row>
    <row r="4" spans="1:18" ht="18" x14ac:dyDescent="0.25">
      <c r="C4" s="170" t="s">
        <v>97</v>
      </c>
      <c r="D4" s="170"/>
      <c r="E4" s="170"/>
      <c r="F4" s="170"/>
      <c r="G4" s="170"/>
      <c r="H4" s="170"/>
      <c r="I4" s="170"/>
      <c r="J4" s="90" t="s">
        <v>56</v>
      </c>
    </row>
    <row r="5" spans="1:18" s="19" customFormat="1" ht="15.75" x14ac:dyDescent="0.25">
      <c r="A5" s="99"/>
      <c r="B5" s="99"/>
      <c r="C5" s="18"/>
      <c r="D5" s="100"/>
      <c r="E5" s="100"/>
      <c r="F5" s="100"/>
      <c r="G5" s="100"/>
      <c r="H5" s="100"/>
      <c r="I5" s="99"/>
      <c r="J5" s="17"/>
      <c r="K5" s="99"/>
      <c r="L5" s="86" t="s">
        <v>58</v>
      </c>
      <c r="M5" s="91" t="s">
        <v>57</v>
      </c>
      <c r="N5" s="99"/>
      <c r="O5" s="99"/>
      <c r="P5" s="99"/>
      <c r="Q5" s="99"/>
      <c r="R5" s="99"/>
    </row>
    <row r="6" spans="1:18" s="19" customFormat="1" ht="12.75" x14ac:dyDescent="0.2">
      <c r="A6" s="99" t="s">
        <v>6</v>
      </c>
      <c r="B6" s="154" t="s">
        <v>92</v>
      </c>
      <c r="C6" s="154"/>
      <c r="D6" s="154"/>
      <c r="E6" s="99"/>
      <c r="F6" s="99"/>
      <c r="G6" s="99"/>
      <c r="H6" s="98" t="s">
        <v>0</v>
      </c>
      <c r="I6" s="146">
        <v>44805</v>
      </c>
      <c r="J6" s="17"/>
      <c r="K6" s="77"/>
      <c r="L6" s="77"/>
      <c r="M6" s="3">
        <v>45444</v>
      </c>
      <c r="N6" s="99"/>
      <c r="O6" s="99"/>
      <c r="P6" s="99"/>
      <c r="Q6" s="99"/>
      <c r="R6" s="99"/>
    </row>
    <row r="7" spans="1:18" s="19" customFormat="1" ht="12.75" x14ac:dyDescent="0.2">
      <c r="A7" s="99" t="s">
        <v>7</v>
      </c>
      <c r="B7" s="178" t="s">
        <v>48</v>
      </c>
      <c r="C7" s="179"/>
      <c r="D7" s="180"/>
      <c r="E7" s="99"/>
      <c r="F7" s="99"/>
      <c r="G7" s="99"/>
      <c r="H7" s="99"/>
      <c r="I7" s="99"/>
      <c r="J7" s="17"/>
      <c r="K7" s="77" t="s">
        <v>1</v>
      </c>
      <c r="L7" s="78" t="s">
        <v>2</v>
      </c>
      <c r="M7" s="78" t="s">
        <v>3</v>
      </c>
      <c r="N7" s="99"/>
      <c r="O7" s="99"/>
      <c r="P7" s="99"/>
      <c r="Q7" s="99"/>
      <c r="R7" s="99"/>
    </row>
    <row r="8" spans="1:18" s="19" customFormat="1" ht="12.75" x14ac:dyDescent="0.2">
      <c r="A8" s="99"/>
      <c r="B8" s="99"/>
      <c r="C8" s="99"/>
      <c r="D8" s="99"/>
      <c r="E8" s="100"/>
      <c r="F8" s="99"/>
      <c r="G8" s="99"/>
      <c r="H8" s="98" t="s">
        <v>40</v>
      </c>
      <c r="I8" s="146">
        <v>45504</v>
      </c>
      <c r="J8" s="17"/>
      <c r="K8" s="77">
        <v>1</v>
      </c>
      <c r="L8" s="3">
        <v>45444</v>
      </c>
      <c r="M8" s="3">
        <v>45504</v>
      </c>
      <c r="N8" s="99"/>
      <c r="O8" s="99"/>
      <c r="P8" s="99"/>
      <c r="Q8" s="99"/>
      <c r="R8" s="99"/>
    </row>
    <row r="9" spans="1:18" s="19" customFormat="1" ht="12.75" x14ac:dyDescent="0.2">
      <c r="A9" s="99"/>
      <c r="B9" s="99"/>
      <c r="C9" s="98" t="s">
        <v>18</v>
      </c>
      <c r="D9" s="147">
        <v>560</v>
      </c>
      <c r="E9" s="101"/>
      <c r="F9" s="99"/>
      <c r="G9" s="99"/>
      <c r="H9" s="99"/>
      <c r="I9" s="99"/>
      <c r="J9" s="17"/>
      <c r="K9" s="77"/>
      <c r="L9" s="3">
        <v>45078</v>
      </c>
      <c r="M9" s="3">
        <v>45443</v>
      </c>
      <c r="N9" s="99"/>
      <c r="O9" s="99"/>
      <c r="P9" s="99"/>
      <c r="Q9" s="99"/>
      <c r="R9" s="99"/>
    </row>
    <row r="10" spans="1:18" s="19" customFormat="1" ht="12.75" x14ac:dyDescent="0.2">
      <c r="A10" s="99"/>
      <c r="B10" s="99"/>
      <c r="C10" s="98"/>
      <c r="D10" s="99"/>
      <c r="E10" s="99"/>
      <c r="F10" s="99"/>
      <c r="G10" s="99"/>
      <c r="H10" s="98"/>
      <c r="I10" s="139"/>
      <c r="J10" s="17"/>
      <c r="K10" s="77"/>
      <c r="L10" s="77"/>
      <c r="M10" s="77"/>
      <c r="N10" s="99"/>
      <c r="O10" s="99"/>
      <c r="P10" s="99"/>
      <c r="Q10" s="99"/>
      <c r="R10" s="99"/>
    </row>
    <row r="11" spans="1:18" s="19" customFormat="1" ht="13.5" thickBot="1" x14ac:dyDescent="0.25">
      <c r="A11" s="99"/>
      <c r="B11" s="99"/>
      <c r="C11" s="98" t="s">
        <v>60</v>
      </c>
      <c r="D11" s="147">
        <v>4</v>
      </c>
      <c r="E11" s="101"/>
      <c r="F11" s="99"/>
      <c r="G11" s="99"/>
      <c r="H11" s="99"/>
      <c r="I11" s="99"/>
      <c r="J11" s="17"/>
      <c r="K11" s="77"/>
      <c r="L11" s="79" t="s">
        <v>5</v>
      </c>
      <c r="M11" s="3">
        <v>45474</v>
      </c>
      <c r="N11" s="99"/>
      <c r="O11" s="99"/>
      <c r="P11" s="99"/>
      <c r="Q11" s="99"/>
      <c r="R11" s="99"/>
    </row>
    <row r="12" spans="1:18" s="19" customFormat="1" ht="13.5" thickTop="1" x14ac:dyDescent="0.2">
      <c r="A12" s="99"/>
      <c r="B12" s="99"/>
      <c r="C12" s="98"/>
      <c r="D12" s="99"/>
      <c r="E12" s="99"/>
      <c r="F12" s="99"/>
      <c r="G12" s="99"/>
      <c r="H12" s="4" t="s">
        <v>28</v>
      </c>
      <c r="I12" s="102"/>
      <c r="J12" s="102"/>
      <c r="K12" s="102"/>
      <c r="L12" s="102"/>
      <c r="M12" s="103"/>
      <c r="N12" s="99"/>
      <c r="O12" s="99"/>
      <c r="P12" s="99"/>
      <c r="Q12" s="99"/>
      <c r="R12" s="99"/>
    </row>
    <row r="13" spans="1:18" s="19" customFormat="1" ht="12.75" x14ac:dyDescent="0.2">
      <c r="A13" s="99"/>
      <c r="B13" s="99"/>
      <c r="C13" s="98" t="s">
        <v>19</v>
      </c>
      <c r="D13" s="148">
        <v>42</v>
      </c>
      <c r="E13" s="99"/>
      <c r="F13" s="99"/>
      <c r="G13" s="99"/>
      <c r="H13" s="104"/>
      <c r="I13" s="99"/>
      <c r="J13" s="99"/>
      <c r="K13" s="99"/>
      <c r="L13" s="99"/>
      <c r="M13" s="105"/>
      <c r="N13" s="99"/>
      <c r="O13" s="99"/>
      <c r="P13" s="99"/>
      <c r="Q13" s="99"/>
      <c r="R13" s="99"/>
    </row>
    <row r="14" spans="1:18" s="19" customFormat="1" ht="12.75" x14ac:dyDescent="0.2">
      <c r="A14" s="99"/>
      <c r="B14" s="99"/>
      <c r="C14" s="99"/>
      <c r="D14" s="99"/>
      <c r="E14" s="99"/>
      <c r="F14" s="99"/>
      <c r="G14" s="99"/>
      <c r="H14" s="176" t="s">
        <v>92</v>
      </c>
      <c r="I14" s="177"/>
      <c r="J14" s="99"/>
      <c r="K14" s="110">
        <v>240</v>
      </c>
      <c r="L14" s="99"/>
      <c r="M14" s="105"/>
      <c r="N14" s="99"/>
      <c r="O14" s="99"/>
      <c r="P14" s="99"/>
      <c r="Q14" s="99"/>
      <c r="R14" s="99"/>
    </row>
    <row r="15" spans="1:18" s="19" customFormat="1" ht="13.5" thickBot="1" x14ac:dyDescent="0.25">
      <c r="A15" s="99"/>
      <c r="B15" s="99"/>
      <c r="C15" s="98" t="s">
        <v>20</v>
      </c>
      <c r="D15" s="107">
        <v>160</v>
      </c>
      <c r="E15" s="108" t="s">
        <v>61</v>
      </c>
      <c r="F15" s="99"/>
      <c r="G15" s="99"/>
      <c r="H15" s="176"/>
      <c r="I15" s="177"/>
      <c r="J15" s="99"/>
      <c r="K15" s="140"/>
      <c r="L15" s="99"/>
      <c r="M15" s="105"/>
      <c r="N15" s="99"/>
      <c r="O15" s="99"/>
      <c r="P15" s="99"/>
      <c r="Q15" s="99"/>
      <c r="R15" s="99"/>
    </row>
    <row r="16" spans="1:18" s="19" customFormat="1" ht="12.75" x14ac:dyDescent="0.2">
      <c r="A16" s="99"/>
      <c r="B16" s="99"/>
      <c r="C16" s="99"/>
      <c r="D16" s="99"/>
      <c r="E16" s="99"/>
      <c r="F16" s="99"/>
      <c r="G16" s="99"/>
      <c r="H16" s="109"/>
      <c r="I16" s="13"/>
      <c r="J16" s="5" t="s">
        <v>41</v>
      </c>
      <c r="K16" s="59">
        <v>240</v>
      </c>
      <c r="L16" s="99"/>
      <c r="M16" s="105"/>
      <c r="N16" s="99"/>
      <c r="O16" s="99"/>
      <c r="P16" s="99"/>
      <c r="Q16" s="99"/>
      <c r="R16" s="99"/>
    </row>
    <row r="17" spans="1:18" s="19" customFormat="1" ht="12.75" customHeight="1" x14ac:dyDescent="0.2">
      <c r="A17" s="184" t="s">
        <v>49</v>
      </c>
      <c r="B17" s="184"/>
      <c r="C17" s="184"/>
      <c r="D17" s="107">
        <v>800</v>
      </c>
      <c r="E17" s="147"/>
      <c r="F17" s="99"/>
      <c r="G17" s="99"/>
      <c r="H17" s="109"/>
      <c r="I17" s="13"/>
      <c r="J17" s="5"/>
      <c r="K17" s="14"/>
      <c r="L17" s="99"/>
      <c r="M17" s="105"/>
      <c r="N17" s="99"/>
      <c r="O17" s="99"/>
      <c r="P17" s="99"/>
      <c r="Q17" s="99"/>
      <c r="R17" s="99"/>
    </row>
    <row r="18" spans="1:18" s="19" customFormat="1" ht="12.75" customHeight="1" x14ac:dyDescent="0.2">
      <c r="A18" s="184"/>
      <c r="B18" s="184"/>
      <c r="C18" s="184"/>
      <c r="D18" s="117"/>
      <c r="E18" s="99" t="s">
        <v>61</v>
      </c>
      <c r="F18" s="99"/>
      <c r="G18" s="99"/>
      <c r="H18" s="176" t="s">
        <v>89</v>
      </c>
      <c r="I18" s="177"/>
      <c r="J18" s="98"/>
      <c r="K18" s="110">
        <v>800</v>
      </c>
      <c r="L18" s="99"/>
      <c r="M18" s="105"/>
      <c r="N18" s="99"/>
      <c r="O18" s="99"/>
      <c r="P18" s="99"/>
      <c r="Q18" s="99"/>
      <c r="R18" s="99"/>
    </row>
    <row r="19" spans="1:18" s="19" customFormat="1" ht="15.75" thickBot="1" x14ac:dyDescent="0.3">
      <c r="A19" s="2"/>
      <c r="B19" s="2"/>
      <c r="C19" s="2"/>
      <c r="D19" s="99"/>
      <c r="E19" s="99"/>
      <c r="F19" s="99"/>
      <c r="G19" s="99"/>
      <c r="H19" s="176" t="s">
        <v>42</v>
      </c>
      <c r="I19" s="177"/>
      <c r="J19" s="98"/>
      <c r="K19" s="140">
        <v>800</v>
      </c>
      <c r="L19" s="99"/>
      <c r="M19" s="105"/>
      <c r="N19" s="99"/>
      <c r="O19" s="99"/>
      <c r="P19" s="99"/>
      <c r="Q19" s="99"/>
      <c r="R19" s="99"/>
    </row>
    <row r="20" spans="1:18" s="19" customFormat="1" ht="12.75" customHeight="1" x14ac:dyDescent="0.2">
      <c r="A20" s="184" t="s">
        <v>50</v>
      </c>
      <c r="B20" s="184"/>
      <c r="C20" s="184"/>
      <c r="D20" s="141">
        <v>30</v>
      </c>
      <c r="E20" s="148"/>
      <c r="F20" s="99"/>
      <c r="G20" s="99"/>
      <c r="H20" s="109"/>
      <c r="I20" s="100"/>
      <c r="J20" s="5" t="s">
        <v>43</v>
      </c>
      <c r="K20" s="59">
        <v>0</v>
      </c>
      <c r="L20" s="99"/>
      <c r="M20" s="105"/>
      <c r="N20" s="99"/>
      <c r="O20" s="99"/>
      <c r="P20" s="99"/>
      <c r="Q20" s="99"/>
      <c r="R20" s="99"/>
    </row>
    <row r="21" spans="1:18" s="19" customFormat="1" ht="12.75" customHeight="1" x14ac:dyDescent="0.2">
      <c r="A21" s="184"/>
      <c r="B21" s="184"/>
      <c r="C21" s="184"/>
      <c r="D21" s="99"/>
      <c r="E21" s="99"/>
      <c r="F21" s="99"/>
      <c r="G21" s="99"/>
      <c r="H21" s="109"/>
      <c r="I21" s="100"/>
      <c r="J21" s="5"/>
      <c r="K21" s="6"/>
      <c r="L21" s="99"/>
      <c r="M21" s="105"/>
      <c r="N21" s="99"/>
      <c r="O21" s="99"/>
      <c r="P21" s="99"/>
      <c r="Q21" s="99"/>
      <c r="R21" s="99"/>
    </row>
    <row r="22" spans="1:18" s="19" customFormat="1" ht="12.75" x14ac:dyDescent="0.2">
      <c r="A22" s="99"/>
      <c r="B22" s="99"/>
      <c r="C22" s="99"/>
      <c r="D22" s="99"/>
      <c r="E22" s="99"/>
      <c r="F22" s="99"/>
      <c r="G22" s="99"/>
      <c r="H22" s="109"/>
      <c r="I22" s="100"/>
      <c r="J22" s="5" t="s">
        <v>44</v>
      </c>
      <c r="K22" s="59">
        <v>240</v>
      </c>
      <c r="L22" s="99"/>
      <c r="M22" s="105"/>
      <c r="N22" s="99"/>
      <c r="O22" s="99"/>
      <c r="P22" s="99"/>
      <c r="Q22" s="99"/>
      <c r="R22" s="99"/>
    </row>
    <row r="23" spans="1:18" s="19" customFormat="1" ht="13.5" thickBot="1" x14ac:dyDescent="0.25">
      <c r="A23" s="99"/>
      <c r="B23" s="99"/>
      <c r="C23" s="99"/>
      <c r="D23" s="99"/>
      <c r="E23" s="99"/>
      <c r="F23" s="99"/>
      <c r="G23" s="99"/>
      <c r="H23" s="112"/>
      <c r="I23" s="113"/>
      <c r="J23" s="114"/>
      <c r="K23" s="142"/>
      <c r="L23" s="113"/>
      <c r="M23" s="116"/>
      <c r="N23" s="99"/>
      <c r="O23" s="99"/>
      <c r="P23" s="99"/>
      <c r="Q23" s="99"/>
      <c r="R23" s="99"/>
    </row>
    <row r="24" spans="1:18" s="19" customFormat="1" ht="13.5" thickTop="1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1:18" s="19" customFormat="1" ht="12.75" x14ac:dyDescent="0.2">
      <c r="A25" s="7" t="s">
        <v>21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  <row r="26" spans="1:18" s="19" customFormat="1" ht="12.75" x14ac:dyDescent="0.2">
      <c r="A26" s="7"/>
      <c r="B26" s="99"/>
      <c r="C26" s="99"/>
      <c r="D26" s="99"/>
      <c r="E26" s="99"/>
      <c r="F26" s="99"/>
      <c r="G26" s="99"/>
      <c r="H26" s="8"/>
      <c r="I26" s="99"/>
      <c r="J26" s="99"/>
      <c r="K26" s="99"/>
      <c r="L26" s="99"/>
      <c r="M26" s="99"/>
      <c r="N26" s="99"/>
      <c r="O26" s="99"/>
      <c r="P26" s="99"/>
      <c r="Q26" s="99"/>
      <c r="R26" s="99"/>
    </row>
    <row r="27" spans="1:18" s="19" customFormat="1" ht="12.75" x14ac:dyDescent="0.2">
      <c r="A27" s="7"/>
      <c r="B27" s="99"/>
      <c r="C27" s="99"/>
      <c r="D27" s="99"/>
      <c r="E27" s="98" t="s">
        <v>31</v>
      </c>
      <c r="F27" s="148">
        <v>9</v>
      </c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</row>
    <row r="28" spans="1:18" s="19" customFormat="1" ht="12.75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1:18" s="19" customFormat="1" ht="12.75" x14ac:dyDescent="0.2">
      <c r="A29" s="99"/>
      <c r="B29" s="99"/>
      <c r="C29" s="99"/>
      <c r="D29" s="99"/>
      <c r="E29" s="98" t="s">
        <v>51</v>
      </c>
      <c r="F29" s="118">
        <v>14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</row>
    <row r="30" spans="1:18" s="19" customFormat="1" ht="12.75" x14ac:dyDescent="0.2">
      <c r="A30" s="99"/>
      <c r="B30" s="99"/>
      <c r="C30" s="99"/>
      <c r="D30" s="99"/>
      <c r="E30" s="98"/>
      <c r="F30" s="117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</row>
    <row r="31" spans="1:18" s="19" customFormat="1" ht="12.75" x14ac:dyDescent="0.2">
      <c r="A31" s="99"/>
      <c r="B31" s="99"/>
      <c r="C31" s="99"/>
      <c r="D31" s="99"/>
      <c r="E31" s="98"/>
      <c r="F31" s="99"/>
      <c r="G31" s="99"/>
      <c r="H31" s="8" t="s">
        <v>8</v>
      </c>
      <c r="I31" s="99"/>
      <c r="J31" s="99"/>
      <c r="K31" s="99"/>
      <c r="L31" s="99"/>
      <c r="M31" s="99"/>
      <c r="N31" s="99"/>
      <c r="O31" s="99"/>
      <c r="P31" s="99"/>
      <c r="Q31" s="99"/>
      <c r="R31" s="99"/>
    </row>
    <row r="32" spans="1:18" s="19" customFormat="1" ht="12.75" x14ac:dyDescent="0.2">
      <c r="A32" s="99"/>
      <c r="B32" s="77"/>
      <c r="C32" s="77"/>
      <c r="D32" s="77"/>
      <c r="E32" s="16" t="s">
        <v>86</v>
      </c>
      <c r="F32" s="148"/>
      <c r="G32" s="99"/>
      <c r="H32" s="77">
        <v>2.25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</row>
    <row r="33" spans="1:18" s="19" customFormat="1" ht="12.75" x14ac:dyDescent="0.2">
      <c r="A33" s="99"/>
      <c r="B33" s="99"/>
      <c r="C33" s="99"/>
      <c r="D33" s="99"/>
      <c r="E33" s="98"/>
      <c r="F33" s="119"/>
      <c r="G33" s="99"/>
      <c r="H33" s="99" t="s">
        <v>74</v>
      </c>
      <c r="I33" s="99"/>
      <c r="J33" s="99"/>
      <c r="K33" s="99"/>
      <c r="L33" s="99"/>
      <c r="M33" s="99"/>
      <c r="N33" s="99"/>
      <c r="O33" s="99"/>
      <c r="P33" s="99"/>
      <c r="Q33" s="99"/>
      <c r="R33" s="99"/>
    </row>
    <row r="34" spans="1:18" s="19" customFormat="1" ht="12.75" x14ac:dyDescent="0.2">
      <c r="A34" s="99"/>
      <c r="B34" s="99"/>
      <c r="C34" s="99"/>
      <c r="D34" s="99"/>
      <c r="E34" s="99"/>
      <c r="F34" s="99"/>
      <c r="G34" s="99"/>
      <c r="H34" s="99" t="s">
        <v>55</v>
      </c>
      <c r="I34" s="99"/>
      <c r="J34" s="99"/>
      <c r="K34" s="99"/>
      <c r="L34" s="99"/>
      <c r="M34" s="99"/>
      <c r="N34" s="99"/>
      <c r="O34" s="99"/>
      <c r="P34" s="99"/>
      <c r="Q34" s="99"/>
      <c r="R34" s="99"/>
    </row>
    <row r="35" spans="1:18" s="19" customFormat="1" ht="12.75" x14ac:dyDescent="0.2">
      <c r="A35" s="99"/>
      <c r="B35" s="99"/>
      <c r="C35" s="98" t="s">
        <v>45</v>
      </c>
      <c r="D35" s="148"/>
      <c r="E35" s="99" t="s">
        <v>10</v>
      </c>
      <c r="F35" s="118">
        <v>0</v>
      </c>
      <c r="G35" s="99"/>
      <c r="H35" s="99" t="s">
        <v>59</v>
      </c>
      <c r="I35" s="99"/>
      <c r="J35" s="99"/>
      <c r="K35" s="99"/>
      <c r="L35" s="99"/>
      <c r="M35" s="99"/>
      <c r="N35" s="99"/>
      <c r="O35" s="99"/>
      <c r="P35" s="99"/>
      <c r="Q35" s="99"/>
      <c r="R35" s="99"/>
    </row>
    <row r="36" spans="1:18" s="19" customFormat="1" ht="12.75" x14ac:dyDescent="0.2">
      <c r="A36" s="99"/>
      <c r="B36" s="99"/>
      <c r="C36" s="98" t="s">
        <v>46</v>
      </c>
      <c r="D36" s="14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pans="1:18" s="19" customFormat="1" ht="12.75" x14ac:dyDescent="0.2">
      <c r="A37" s="99"/>
      <c r="B37" s="99"/>
      <c r="C37" s="98"/>
      <c r="D37" s="99"/>
      <c r="E37" s="99"/>
      <c r="F37" s="99"/>
      <c r="G37" s="99"/>
      <c r="H37" s="99" t="s">
        <v>75</v>
      </c>
      <c r="I37" s="99"/>
      <c r="J37" s="99"/>
      <c r="K37" s="99"/>
      <c r="L37" s="99"/>
      <c r="M37" s="99"/>
      <c r="N37" s="99"/>
      <c r="O37" s="99"/>
      <c r="P37" s="99"/>
      <c r="Q37" s="99"/>
      <c r="R37" s="99"/>
    </row>
    <row r="38" spans="1:18" s="19" customFormat="1" ht="12.75" x14ac:dyDescent="0.2">
      <c r="A38" s="99"/>
      <c r="B38" s="99"/>
      <c r="C38" s="98" t="s">
        <v>33</v>
      </c>
      <c r="D38" s="120">
        <v>3.5</v>
      </c>
      <c r="E38" s="121" t="s">
        <v>12</v>
      </c>
      <c r="F38" s="122">
        <v>3.5</v>
      </c>
      <c r="G38" s="99"/>
      <c r="H38" s="99" t="s">
        <v>76</v>
      </c>
      <c r="I38" s="99"/>
      <c r="J38" s="99"/>
      <c r="K38" s="99"/>
      <c r="L38" s="99"/>
      <c r="M38" s="99"/>
      <c r="N38" s="99"/>
      <c r="O38" s="99"/>
      <c r="P38" s="99"/>
      <c r="Q38" s="99"/>
      <c r="R38" s="99"/>
    </row>
    <row r="39" spans="1:18" s="19" customFormat="1" ht="12.75" x14ac:dyDescent="0.2">
      <c r="A39" s="99"/>
      <c r="B39" s="99"/>
      <c r="C39" s="99"/>
      <c r="D39" s="99"/>
      <c r="E39" s="99"/>
      <c r="F39" s="99"/>
      <c r="G39" s="99"/>
      <c r="H39" s="99" t="s">
        <v>77</v>
      </c>
      <c r="I39" s="99"/>
      <c r="J39" s="99"/>
      <c r="K39" s="99"/>
      <c r="L39" s="99"/>
      <c r="M39" s="99"/>
      <c r="N39" s="99"/>
      <c r="O39" s="99"/>
      <c r="P39" s="99"/>
      <c r="Q39" s="99"/>
      <c r="R39" s="99"/>
    </row>
    <row r="40" spans="1:18" s="19" customFormat="1" ht="12.75" x14ac:dyDescent="0.2">
      <c r="A40" s="99"/>
      <c r="B40" s="99"/>
      <c r="C40" s="98" t="s">
        <v>34</v>
      </c>
      <c r="D40" s="118">
        <v>9</v>
      </c>
      <c r="E40" s="99"/>
      <c r="F40" s="99"/>
      <c r="G40" s="99"/>
      <c r="H40" s="99" t="s">
        <v>78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</row>
    <row r="41" spans="1:18" s="19" customFormat="1" ht="12.75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18" s="19" customFormat="1" ht="12.75" x14ac:dyDescent="0.2">
      <c r="A42" s="99"/>
      <c r="B42" s="99"/>
      <c r="C42" s="98" t="s">
        <v>11</v>
      </c>
      <c r="D42" s="118">
        <v>8.75</v>
      </c>
      <c r="E42" s="121" t="s">
        <v>12</v>
      </c>
      <c r="F42" s="123">
        <v>9</v>
      </c>
      <c r="G42" s="99"/>
      <c r="H42" s="99" t="s">
        <v>87</v>
      </c>
      <c r="I42" s="99"/>
      <c r="J42" s="99"/>
      <c r="K42" s="99"/>
      <c r="L42" s="99"/>
      <c r="M42" s="99"/>
      <c r="N42" s="99"/>
      <c r="O42" s="99"/>
      <c r="P42" s="99"/>
      <c r="Q42" s="99"/>
      <c r="R42" s="99"/>
    </row>
    <row r="43" spans="1:18" s="19" customFormat="1" ht="12.75" x14ac:dyDescent="0.2">
      <c r="A43" s="99"/>
      <c r="B43" s="99"/>
      <c r="C43" s="99"/>
      <c r="D43" s="99"/>
      <c r="E43" s="99"/>
      <c r="F43" s="99"/>
      <c r="G43" s="99"/>
      <c r="H43" s="99" t="s">
        <v>94</v>
      </c>
      <c r="I43" s="99"/>
      <c r="J43" s="99"/>
      <c r="K43" s="99"/>
      <c r="L43" s="99"/>
      <c r="M43" s="99"/>
      <c r="N43" s="99"/>
      <c r="O43" s="99"/>
      <c r="P43" s="99"/>
      <c r="Q43" s="99"/>
      <c r="R43" s="99"/>
    </row>
    <row r="44" spans="1:18" s="19" customFormat="1" ht="12.75" x14ac:dyDescent="0.2">
      <c r="A44" s="186" t="s">
        <v>23</v>
      </c>
      <c r="B44" s="187"/>
      <c r="C44" s="188"/>
      <c r="D44" s="61">
        <v>240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</row>
    <row r="45" spans="1:18" s="19" customFormat="1" ht="12.75" x14ac:dyDescent="0.2">
      <c r="A45" s="98"/>
      <c r="B45" s="98"/>
      <c r="C45" s="98"/>
      <c r="D45" s="10"/>
      <c r="E45" s="99"/>
      <c r="F45" s="99"/>
      <c r="G45" s="99"/>
      <c r="H45" s="99" t="s">
        <v>22</v>
      </c>
      <c r="I45" s="99"/>
      <c r="J45" s="99"/>
      <c r="K45" s="99"/>
      <c r="L45" s="99"/>
      <c r="M45" s="99"/>
      <c r="N45" s="99"/>
      <c r="O45" s="99"/>
      <c r="P45" s="99"/>
      <c r="Q45" s="99"/>
      <c r="R45" s="99"/>
    </row>
    <row r="46" spans="1:18" s="19" customFormat="1" ht="12.75" x14ac:dyDescent="0.2">
      <c r="A46" s="99"/>
      <c r="B46" s="99"/>
      <c r="C46" s="99"/>
      <c r="D46" s="99"/>
      <c r="E46" s="99"/>
      <c r="F46" s="99"/>
      <c r="G46" s="99"/>
      <c r="H46" s="99" t="s">
        <v>95</v>
      </c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1:18" s="19" customFormat="1" ht="12.75" x14ac:dyDescent="0.2">
      <c r="A47" s="7" t="s">
        <v>13</v>
      </c>
      <c r="B47" s="99"/>
      <c r="C47" s="99"/>
      <c r="D47" s="99"/>
      <c r="E47" s="99"/>
      <c r="F47" s="99"/>
      <c r="G47" s="99"/>
      <c r="H47" s="99" t="s">
        <v>79</v>
      </c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1:18" s="19" customFormat="1" ht="12.75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1:18" s="19" customFormat="1" ht="12.75" x14ac:dyDescent="0.2">
      <c r="A49" s="99" t="s">
        <v>14</v>
      </c>
      <c r="B49" s="99"/>
      <c r="C49" s="99"/>
      <c r="D49" s="99"/>
      <c r="E49" s="99"/>
      <c r="F49" s="99"/>
      <c r="G49" s="99"/>
      <c r="H49" s="8" t="s">
        <v>8</v>
      </c>
      <c r="I49" s="99"/>
      <c r="J49" s="99"/>
      <c r="K49" s="99"/>
      <c r="L49" s="99"/>
      <c r="M49" s="99"/>
      <c r="N49" s="99"/>
      <c r="O49" s="99"/>
      <c r="P49" s="99"/>
      <c r="Q49" s="99"/>
      <c r="R49" s="99"/>
    </row>
    <row r="50" spans="1:18" s="19" customFormat="1" ht="38.25" x14ac:dyDescent="0.2">
      <c r="A50" s="99"/>
      <c r="B50" s="124" t="s">
        <v>24</v>
      </c>
      <c r="C50" s="125" t="s">
        <v>88</v>
      </c>
      <c r="D50" s="125" t="s">
        <v>15</v>
      </c>
      <c r="E50" s="126"/>
      <c r="F50" s="126"/>
      <c r="G50" s="99"/>
      <c r="H50" s="99" t="s">
        <v>16</v>
      </c>
      <c r="I50" s="99"/>
      <c r="J50" s="99"/>
      <c r="K50" s="99"/>
      <c r="L50" s="99"/>
      <c r="M50" s="99"/>
      <c r="N50" s="99"/>
      <c r="O50" s="99"/>
      <c r="P50" s="99"/>
      <c r="Q50" s="99"/>
      <c r="R50" s="99"/>
    </row>
    <row r="51" spans="1:18" s="19" customFormat="1" ht="13.5" customHeight="1" x14ac:dyDescent="0.2">
      <c r="A51" s="127">
        <v>153</v>
      </c>
      <c r="B51" s="147">
        <v>560</v>
      </c>
      <c r="C51" s="147"/>
      <c r="D51" s="128">
        <v>56</v>
      </c>
      <c r="E51" s="129"/>
      <c r="F51" s="101"/>
      <c r="G51" s="99"/>
      <c r="H51" s="99" t="s">
        <v>54</v>
      </c>
      <c r="I51" s="99"/>
      <c r="J51" s="99"/>
      <c r="K51" s="99"/>
      <c r="L51" s="99"/>
      <c r="M51" s="99"/>
      <c r="N51" s="99"/>
      <c r="O51" s="99"/>
      <c r="P51" s="99"/>
      <c r="Q51" s="99"/>
      <c r="R51" s="99"/>
    </row>
    <row r="52" spans="1:18" s="19" customFormat="1" ht="13.5" customHeight="1" x14ac:dyDescent="0.2">
      <c r="A52" s="127">
        <v>183</v>
      </c>
      <c r="B52" s="147">
        <v>560</v>
      </c>
      <c r="C52" s="147"/>
      <c r="D52" s="128">
        <v>56</v>
      </c>
      <c r="E52" s="129"/>
      <c r="F52" s="101"/>
      <c r="G52" s="99"/>
      <c r="H52" s="99" t="s">
        <v>80</v>
      </c>
      <c r="I52" s="99"/>
      <c r="J52" s="99"/>
      <c r="K52" s="99"/>
      <c r="L52" s="99"/>
      <c r="M52" s="130"/>
      <c r="N52" s="99"/>
      <c r="O52" s="99"/>
      <c r="P52" s="99"/>
      <c r="Q52" s="99"/>
      <c r="R52" s="99"/>
    </row>
    <row r="53" spans="1:18" s="19" customFormat="1" ht="13.5" customHeight="1" x14ac:dyDescent="0.25">
      <c r="A53" s="127">
        <v>214</v>
      </c>
      <c r="B53" s="147"/>
      <c r="C53" s="147"/>
      <c r="D53" s="128">
        <v>0</v>
      </c>
      <c r="E53" s="129"/>
      <c r="F53" s="101"/>
      <c r="G53" s="99"/>
      <c r="H53" s="2"/>
      <c r="I53" s="99"/>
      <c r="J53" s="99"/>
      <c r="K53" s="99"/>
      <c r="L53" s="99"/>
      <c r="M53" s="99"/>
      <c r="N53" s="99"/>
      <c r="O53" s="99"/>
      <c r="P53" s="99"/>
      <c r="Q53" s="99"/>
      <c r="R53" s="99"/>
    </row>
    <row r="54" spans="1:18" s="19" customFormat="1" ht="13.5" customHeight="1" x14ac:dyDescent="0.2">
      <c r="A54" s="127">
        <v>245</v>
      </c>
      <c r="B54" s="147"/>
      <c r="C54" s="147"/>
      <c r="D54" s="128">
        <v>0</v>
      </c>
      <c r="E54" s="129"/>
      <c r="F54" s="101"/>
      <c r="G54" s="99"/>
      <c r="H54" s="99" t="s">
        <v>81</v>
      </c>
      <c r="I54" s="98"/>
      <c r="J54" s="99"/>
      <c r="K54" s="99"/>
      <c r="L54" s="99"/>
      <c r="M54" s="99"/>
      <c r="N54" s="99"/>
      <c r="O54" s="99"/>
      <c r="P54" s="99"/>
      <c r="Q54" s="99"/>
      <c r="R54" s="99"/>
    </row>
    <row r="55" spans="1:18" s="19" customFormat="1" ht="13.5" customHeight="1" x14ac:dyDescent="0.25">
      <c r="A55" s="127">
        <v>275</v>
      </c>
      <c r="B55" s="147"/>
      <c r="C55" s="147"/>
      <c r="D55" s="128">
        <v>0</v>
      </c>
      <c r="E55" s="129"/>
      <c r="F55" s="101"/>
      <c r="G55" s="99"/>
      <c r="H55" s="2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pans="1:18" s="19" customFormat="1" ht="13.5" customHeight="1" x14ac:dyDescent="0.2">
      <c r="A56" s="127">
        <v>306</v>
      </c>
      <c r="B56" s="147"/>
      <c r="C56" s="147"/>
      <c r="D56" s="128">
        <v>0</v>
      </c>
      <c r="E56" s="129"/>
      <c r="F56" s="101"/>
      <c r="G56" s="99"/>
      <c r="H56" s="99" t="s">
        <v>35</v>
      </c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8" s="19" customFormat="1" ht="13.5" customHeight="1" x14ac:dyDescent="0.2">
      <c r="A57" s="127">
        <v>336</v>
      </c>
      <c r="B57" s="147"/>
      <c r="C57" s="147"/>
      <c r="D57" s="128">
        <v>0</v>
      </c>
      <c r="E57" s="129"/>
      <c r="F57" s="101"/>
      <c r="G57" s="99"/>
      <c r="H57" s="99" t="s">
        <v>36</v>
      </c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pans="1:18" s="19" customFormat="1" ht="13.5" customHeight="1" x14ac:dyDescent="0.25">
      <c r="A58" s="127">
        <v>367</v>
      </c>
      <c r="B58" s="147"/>
      <c r="C58" s="147"/>
      <c r="D58" s="128">
        <v>0</v>
      </c>
      <c r="E58" s="129"/>
      <c r="F58" s="101"/>
      <c r="G58" s="99"/>
      <c r="H58" s="2"/>
      <c r="I58" s="98" t="s">
        <v>82</v>
      </c>
      <c r="J58" s="99" t="s">
        <v>83</v>
      </c>
      <c r="K58" s="99"/>
      <c r="L58" s="99"/>
      <c r="M58" s="99"/>
      <c r="N58" s="99"/>
      <c r="O58" s="99"/>
      <c r="P58" s="99"/>
      <c r="Q58" s="99"/>
      <c r="R58" s="99"/>
    </row>
    <row r="59" spans="1:18" s="19" customFormat="1" ht="13.5" customHeight="1" x14ac:dyDescent="0.25">
      <c r="A59" s="127">
        <v>398</v>
      </c>
      <c r="B59" s="147"/>
      <c r="C59" s="147"/>
      <c r="D59" s="128">
        <v>0</v>
      </c>
      <c r="E59" s="129"/>
      <c r="F59" s="101"/>
      <c r="G59" s="99"/>
      <c r="H59" s="2"/>
      <c r="I59" s="99"/>
      <c r="J59" s="99"/>
      <c r="K59" s="99"/>
      <c r="L59" s="99"/>
      <c r="M59" s="99"/>
      <c r="N59" s="99"/>
      <c r="O59" s="99"/>
      <c r="P59" s="99"/>
      <c r="Q59" s="99"/>
      <c r="R59" s="99"/>
    </row>
    <row r="60" spans="1:18" s="19" customFormat="1" ht="13.5" customHeight="1" x14ac:dyDescent="0.2">
      <c r="A60" s="127">
        <v>426</v>
      </c>
      <c r="B60" s="147"/>
      <c r="C60" s="147"/>
      <c r="D60" s="128">
        <v>0</v>
      </c>
      <c r="E60" s="129"/>
      <c r="F60" s="101"/>
      <c r="G60" s="99"/>
      <c r="H60" s="99" t="s">
        <v>84</v>
      </c>
      <c r="I60" s="99"/>
      <c r="J60" s="99"/>
      <c r="K60" s="99"/>
      <c r="L60" s="99"/>
      <c r="M60" s="99"/>
      <c r="N60" s="99"/>
      <c r="O60" s="99"/>
      <c r="P60" s="99"/>
      <c r="Q60" s="99"/>
      <c r="R60" s="99"/>
    </row>
    <row r="61" spans="1:18" s="19" customFormat="1" ht="13.5" customHeight="1" x14ac:dyDescent="0.2">
      <c r="A61" s="127">
        <v>457</v>
      </c>
      <c r="B61" s="147"/>
      <c r="C61" s="147"/>
      <c r="D61" s="128">
        <v>0</v>
      </c>
      <c r="E61" s="129"/>
      <c r="F61" s="101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</row>
    <row r="62" spans="1:18" s="19" customFormat="1" ht="13.5" customHeight="1" x14ac:dyDescent="0.2">
      <c r="A62" s="127">
        <v>487</v>
      </c>
      <c r="B62" s="147"/>
      <c r="C62" s="147"/>
      <c r="D62" s="128">
        <v>0</v>
      </c>
      <c r="E62" s="129"/>
      <c r="F62" s="101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</row>
    <row r="63" spans="1:18" s="19" customFormat="1" ht="12.75" x14ac:dyDescent="0.2">
      <c r="A63" s="99"/>
      <c r="B63" s="99"/>
      <c r="C63" s="98" t="s">
        <v>17</v>
      </c>
      <c r="D63" s="143">
        <v>112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</row>
    <row r="64" spans="1:18" s="19" customFormat="1" ht="12.75" x14ac:dyDescent="0.2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</row>
    <row r="65" spans="1:18" s="19" customFormat="1" ht="12.75" x14ac:dyDescent="0.2">
      <c r="A65" s="177" t="s">
        <v>53</v>
      </c>
      <c r="B65" s="177"/>
      <c r="C65" s="177"/>
      <c r="D65" s="131">
        <v>80</v>
      </c>
      <c r="E65" s="98"/>
      <c r="F65" s="101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</row>
    <row r="66" spans="1:18" s="19" customFormat="1" ht="12.75" x14ac:dyDescent="0.2">
      <c r="A66" s="99"/>
      <c r="B66" s="99"/>
      <c r="C66" s="99"/>
      <c r="D66" s="99"/>
      <c r="E66" s="98"/>
      <c r="F66" s="101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</row>
    <row r="67" spans="1:18" s="19" customFormat="1" ht="12.75" x14ac:dyDescent="0.2">
      <c r="A67" s="99"/>
      <c r="B67" s="99"/>
      <c r="C67" s="98" t="s">
        <v>47</v>
      </c>
      <c r="D67" s="132">
        <v>0</v>
      </c>
      <c r="E67" s="99"/>
      <c r="F67" s="101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</row>
    <row r="68" spans="1:18" s="19" customFormat="1" ht="12.75" x14ac:dyDescent="0.2">
      <c r="A68" s="99"/>
      <c r="B68" s="99"/>
      <c r="C68" s="99"/>
      <c r="D68" s="99"/>
      <c r="E68" s="99"/>
      <c r="F68" s="99"/>
      <c r="G68" s="99"/>
      <c r="H68" s="98"/>
      <c r="I68" s="99"/>
      <c r="J68" s="99"/>
      <c r="K68" s="99"/>
      <c r="L68" s="99"/>
      <c r="M68" s="99"/>
      <c r="N68" s="99"/>
      <c r="O68" s="99"/>
      <c r="P68" s="99"/>
      <c r="Q68" s="99"/>
      <c r="R68" s="99"/>
    </row>
    <row r="69" spans="1:18" s="19" customFormat="1" ht="12.75" x14ac:dyDescent="0.2">
      <c r="A69" s="186" t="s">
        <v>25</v>
      </c>
      <c r="B69" s="187"/>
      <c r="C69" s="188"/>
      <c r="D69" s="61">
        <v>192</v>
      </c>
      <c r="E69" s="99"/>
      <c r="F69" s="99"/>
      <c r="G69" s="99"/>
      <c r="H69" s="98"/>
      <c r="I69" s="99"/>
      <c r="J69" s="99"/>
      <c r="K69" s="99"/>
      <c r="L69" s="99"/>
      <c r="M69" s="99"/>
      <c r="N69" s="99"/>
      <c r="O69" s="99"/>
      <c r="P69" s="99"/>
      <c r="Q69" s="99"/>
      <c r="R69" s="99"/>
    </row>
    <row r="70" spans="1:18" s="19" customFormat="1" ht="13.5" thickBot="1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</row>
    <row r="71" spans="1:18" s="19" customFormat="1" ht="15.75" customHeight="1" thickBot="1" x14ac:dyDescent="0.25">
      <c r="A71" s="167" t="s">
        <v>26</v>
      </c>
      <c r="B71" s="168"/>
      <c r="C71" s="168"/>
      <c r="D71" s="168"/>
      <c r="E71" s="168"/>
      <c r="F71" s="169"/>
      <c r="G71" s="62">
        <v>240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</row>
    <row r="72" spans="1:18" s="19" customFormat="1" ht="13.5" thickBot="1" x14ac:dyDescent="0.25">
      <c r="A72" s="134"/>
      <c r="B72" s="135"/>
      <c r="C72" s="135"/>
      <c r="D72" s="135"/>
      <c r="E72" s="135"/>
      <c r="F72" s="136"/>
      <c r="G72" s="137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</row>
    <row r="73" spans="1:18" s="19" customFormat="1" ht="14.25" customHeight="1" x14ac:dyDescent="0.2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</row>
    <row r="74" spans="1:18" s="19" customFormat="1" ht="12.75" x14ac:dyDescent="0.2">
      <c r="A74" s="99"/>
      <c r="B74" s="99"/>
      <c r="C74" s="98"/>
      <c r="D74" s="15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</row>
    <row r="75" spans="1:18" s="19" customFormat="1" ht="12.75" x14ac:dyDescent="0.2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</row>
    <row r="76" spans="1:18" s="19" customFormat="1" ht="12.75" x14ac:dyDescent="0.2">
      <c r="A76" s="99" t="s">
        <v>6</v>
      </c>
      <c r="B76" s="154" t="s">
        <v>89</v>
      </c>
      <c r="C76" s="154"/>
      <c r="D76" s="154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</row>
    <row r="77" spans="1:18" s="19" customFormat="1" ht="12.75" x14ac:dyDescent="0.2">
      <c r="A77" s="99" t="s">
        <v>7</v>
      </c>
      <c r="B77" s="177" t="s">
        <v>48</v>
      </c>
      <c r="C77" s="177"/>
      <c r="D77" s="177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</row>
    <row r="78" spans="1:18" s="19" customFormat="1" ht="12.75" x14ac:dyDescent="0.2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</row>
    <row r="79" spans="1:18" s="19" customFormat="1" ht="12.75" x14ac:dyDescent="0.2">
      <c r="A79" s="99"/>
      <c r="B79" s="99"/>
      <c r="C79" s="99"/>
      <c r="D79" s="99"/>
      <c r="E79" s="98" t="s">
        <v>93</v>
      </c>
      <c r="F79" s="107">
        <v>800</v>
      </c>
      <c r="G79" s="98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</row>
    <row r="80" spans="1:18" s="19" customFormat="1" ht="12.75" x14ac:dyDescent="0.2">
      <c r="A80" s="99"/>
      <c r="B80" s="99"/>
      <c r="C80" s="99"/>
      <c r="D80" s="99"/>
      <c r="E80" s="98"/>
      <c r="F80" s="101"/>
      <c r="G80" s="98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</row>
    <row r="81" spans="1:18" s="19" customFormat="1" ht="12.75" x14ac:dyDescent="0.2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</row>
    <row r="82" spans="1:18" s="19" customFormat="1" ht="31.5" customHeight="1" x14ac:dyDescent="0.2">
      <c r="A82" s="99"/>
      <c r="B82" s="124" t="s">
        <v>85</v>
      </c>
      <c r="C82" s="144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</row>
    <row r="83" spans="1:18" s="19" customFormat="1" ht="12.75" x14ac:dyDescent="0.2">
      <c r="A83" s="127">
        <v>153</v>
      </c>
      <c r="B83" s="147">
        <v>800</v>
      </c>
      <c r="C83" s="101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</row>
    <row r="84" spans="1:18" s="19" customFormat="1" ht="12.75" x14ac:dyDescent="0.2">
      <c r="A84" s="127">
        <v>183</v>
      </c>
      <c r="B84" s="147"/>
      <c r="C84" s="101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</row>
    <row r="85" spans="1:18" s="19" customFormat="1" ht="12.75" x14ac:dyDescent="0.2">
      <c r="A85" s="127">
        <v>214</v>
      </c>
      <c r="B85" s="147"/>
      <c r="C85" s="101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</row>
    <row r="86" spans="1:18" s="19" customFormat="1" ht="12.75" x14ac:dyDescent="0.2">
      <c r="A86" s="127">
        <v>245</v>
      </c>
      <c r="B86" s="147"/>
      <c r="C86" s="101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</row>
    <row r="87" spans="1:18" s="19" customFormat="1" ht="12.75" x14ac:dyDescent="0.2">
      <c r="A87" s="127">
        <v>275</v>
      </c>
      <c r="B87" s="147"/>
      <c r="C87" s="101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</row>
    <row r="88" spans="1:18" s="19" customFormat="1" ht="12.75" x14ac:dyDescent="0.2">
      <c r="A88" s="127">
        <v>306</v>
      </c>
      <c r="B88" s="147"/>
      <c r="C88" s="101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</row>
    <row r="89" spans="1:18" s="19" customFormat="1" ht="12.75" x14ac:dyDescent="0.2">
      <c r="A89" s="127">
        <v>336</v>
      </c>
      <c r="B89" s="147"/>
      <c r="C89" s="101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</row>
    <row r="90" spans="1:18" s="19" customFormat="1" ht="12.75" x14ac:dyDescent="0.2">
      <c r="A90" s="127">
        <v>367</v>
      </c>
      <c r="B90" s="147"/>
      <c r="C90" s="101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</row>
    <row r="91" spans="1:18" s="19" customFormat="1" ht="12.75" x14ac:dyDescent="0.2">
      <c r="A91" s="127">
        <v>398</v>
      </c>
      <c r="B91" s="147"/>
      <c r="C91" s="101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</row>
    <row r="92" spans="1:18" s="19" customFormat="1" ht="12.75" x14ac:dyDescent="0.2">
      <c r="A92" s="127">
        <v>426</v>
      </c>
      <c r="B92" s="147"/>
      <c r="C92" s="101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</row>
    <row r="93" spans="1:18" s="19" customFormat="1" ht="12.75" x14ac:dyDescent="0.2">
      <c r="A93" s="127">
        <v>457</v>
      </c>
      <c r="B93" s="147"/>
      <c r="C93" s="101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</row>
    <row r="94" spans="1:18" s="19" customFormat="1" ht="12.75" x14ac:dyDescent="0.2">
      <c r="A94" s="127">
        <v>487</v>
      </c>
      <c r="B94" s="147"/>
      <c r="C94" s="101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</row>
    <row r="95" spans="1:18" s="19" customFormat="1" ht="12.75" x14ac:dyDescent="0.2">
      <c r="A95" s="133" t="s">
        <v>17</v>
      </c>
      <c r="B95" s="143">
        <v>800</v>
      </c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</row>
    <row r="96" spans="1:18" s="19" customFormat="1" ht="12.75" x14ac:dyDescent="0.2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</row>
    <row r="97" spans="1:18" s="19" customFormat="1" ht="12.75" x14ac:dyDescent="0.2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</row>
    <row r="98" spans="1:18" s="19" customFormat="1" ht="12.75" x14ac:dyDescent="0.2">
      <c r="A98" s="99"/>
      <c r="B98" s="99"/>
      <c r="C98" s="99"/>
      <c r="D98" s="99"/>
      <c r="E98" s="98"/>
      <c r="F98" s="145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</row>
    <row r="99" spans="1:18" s="19" customFormat="1" ht="12.75" x14ac:dyDescent="0.2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</row>
    <row r="100" spans="1:18" s="19" customFormat="1" ht="12.75" x14ac:dyDescent="0.2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</row>
    <row r="101" spans="1:18" s="19" customFormat="1" ht="12.75" x14ac:dyDescent="0.2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</row>
    <row r="102" spans="1:18" s="19" customFormat="1" ht="12.75" x14ac:dyDescent="0.2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</row>
    <row r="103" spans="1:18" s="19" customFormat="1" ht="12.75" x14ac:dyDescent="0.2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</row>
    <row r="104" spans="1:18" s="19" customFormat="1" ht="12.75" x14ac:dyDescent="0.2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</row>
    <row r="105" spans="1:18" s="19" customFormat="1" ht="12.75" x14ac:dyDescent="0.2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</row>
    <row r="106" spans="1:18" s="19" customFormat="1" ht="12.75" x14ac:dyDescent="0.2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</row>
    <row r="107" spans="1:18" s="19" customFormat="1" ht="12.75" x14ac:dyDescent="0.2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</row>
    <row r="108" spans="1:18" s="19" customFormat="1" ht="12.75" x14ac:dyDescent="0.2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</row>
    <row r="109" spans="1:18" s="19" customFormat="1" ht="12.75" x14ac:dyDescent="0.2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</row>
    <row r="110" spans="1:18" s="19" customFormat="1" ht="12.75" x14ac:dyDescent="0.2"/>
    <row r="111" spans="1:18" s="19" customFormat="1" ht="12.75" x14ac:dyDescent="0.2"/>
    <row r="112" spans="1:18" s="19" customFormat="1" ht="12.75" x14ac:dyDescent="0.2"/>
    <row r="113" s="19" customFormat="1" ht="12.75" x14ac:dyDescent="0.2"/>
    <row r="114" s="19" customFormat="1" ht="12.75" x14ac:dyDescent="0.2"/>
    <row r="115" s="19" customFormat="1" ht="12.75" x14ac:dyDescent="0.2"/>
    <row r="116" s="19" customFormat="1" ht="12.75" x14ac:dyDescent="0.2"/>
    <row r="117" s="19" customFormat="1" ht="12.75" x14ac:dyDescent="0.2"/>
    <row r="118" s="19" customFormat="1" ht="12.75" x14ac:dyDescent="0.2"/>
    <row r="119" s="19" customFormat="1" ht="12.75" x14ac:dyDescent="0.2"/>
    <row r="120" s="19" customFormat="1" ht="12.75" x14ac:dyDescent="0.2"/>
    <row r="121" s="19" customFormat="1" ht="12.75" x14ac:dyDescent="0.2"/>
    <row r="122" s="19" customFormat="1" ht="12.75" x14ac:dyDescent="0.2"/>
    <row r="123" s="19" customFormat="1" ht="12.75" x14ac:dyDescent="0.2"/>
    <row r="124" s="19" customFormat="1" ht="12.75" x14ac:dyDescent="0.2"/>
    <row r="125" s="19" customFormat="1" ht="12.75" x14ac:dyDescent="0.2"/>
    <row r="126" s="19" customFormat="1" ht="12.75" x14ac:dyDescent="0.2"/>
    <row r="127" s="19" customFormat="1" ht="12.75" x14ac:dyDescent="0.2"/>
    <row r="128" s="19" customFormat="1" ht="12.75" x14ac:dyDescent="0.2"/>
    <row r="129" s="19" customFormat="1" ht="12.75" x14ac:dyDescent="0.2"/>
    <row r="130" s="19" customFormat="1" ht="12.75" x14ac:dyDescent="0.2"/>
    <row r="131" s="19" customFormat="1" ht="12.75" x14ac:dyDescent="0.2"/>
    <row r="132" s="19" customFormat="1" ht="12.75" x14ac:dyDescent="0.2"/>
    <row r="133" s="19" customFormat="1" ht="12.75" x14ac:dyDescent="0.2"/>
    <row r="134" s="19" customFormat="1" ht="12.75" x14ac:dyDescent="0.2"/>
    <row r="135" s="19" customFormat="1" ht="12.75" x14ac:dyDescent="0.2"/>
    <row r="136" s="19" customFormat="1" ht="12.75" x14ac:dyDescent="0.2"/>
    <row r="137" s="19" customFormat="1" ht="12.75" x14ac:dyDescent="0.2"/>
    <row r="138" s="19" customFormat="1" ht="12.75" x14ac:dyDescent="0.2"/>
    <row r="139" s="19" customFormat="1" ht="12.75" x14ac:dyDescent="0.2"/>
    <row r="140" s="19" customFormat="1" ht="12.75" x14ac:dyDescent="0.2"/>
    <row r="141" s="19" customFormat="1" ht="12.75" x14ac:dyDescent="0.2"/>
    <row r="142" s="19" customFormat="1" ht="12.75" x14ac:dyDescent="0.2"/>
    <row r="143" s="19" customFormat="1" ht="12.75" x14ac:dyDescent="0.2"/>
    <row r="144" s="19" customFormat="1" ht="12.75" x14ac:dyDescent="0.2"/>
    <row r="145" s="19" customFormat="1" ht="12.75" x14ac:dyDescent="0.2"/>
    <row r="146" s="19" customFormat="1" ht="12.75" x14ac:dyDescent="0.2"/>
    <row r="147" s="19" customFormat="1" ht="12.75" x14ac:dyDescent="0.2"/>
    <row r="148" s="19" customFormat="1" ht="12.75" x14ac:dyDescent="0.2"/>
    <row r="149" s="19" customFormat="1" ht="12.75" x14ac:dyDescent="0.2"/>
    <row r="150" s="19" customFormat="1" ht="12.75" x14ac:dyDescent="0.2"/>
    <row r="151" s="19" customFormat="1" ht="12.75" x14ac:dyDescent="0.2"/>
    <row r="152" s="19" customFormat="1" ht="12.75" x14ac:dyDescent="0.2"/>
    <row r="153" s="19" customFormat="1" ht="12.75" x14ac:dyDescent="0.2"/>
    <row r="154" s="19" customFormat="1" ht="12.75" x14ac:dyDescent="0.2"/>
    <row r="155" s="19" customFormat="1" ht="12.75" x14ac:dyDescent="0.2"/>
    <row r="156" s="19" customFormat="1" ht="12.75" x14ac:dyDescent="0.2"/>
    <row r="157" s="19" customFormat="1" ht="12.75" x14ac:dyDescent="0.2"/>
    <row r="158" s="19" customFormat="1" ht="12.75" x14ac:dyDescent="0.2"/>
    <row r="159" s="19" customFormat="1" ht="12.75" x14ac:dyDescent="0.2"/>
    <row r="160" s="19" customFormat="1" ht="12.75" x14ac:dyDescent="0.2"/>
    <row r="161" s="19" customFormat="1" ht="12.75" x14ac:dyDescent="0.2"/>
    <row r="162" s="19" customFormat="1" ht="12.75" x14ac:dyDescent="0.2"/>
    <row r="163" s="19" customFormat="1" ht="12.75" x14ac:dyDescent="0.2"/>
    <row r="164" s="19" customFormat="1" ht="12.75" x14ac:dyDescent="0.2"/>
    <row r="165" s="19" customFormat="1" ht="12.75" x14ac:dyDescent="0.2"/>
    <row r="166" s="19" customFormat="1" ht="12.75" x14ac:dyDescent="0.2"/>
    <row r="167" s="19" customFormat="1" ht="12.75" x14ac:dyDescent="0.2"/>
    <row r="168" s="19" customFormat="1" ht="12.75" x14ac:dyDescent="0.2"/>
    <row r="169" s="19" customFormat="1" ht="12.75" x14ac:dyDescent="0.2"/>
    <row r="170" s="19" customFormat="1" ht="12.75" x14ac:dyDescent="0.2"/>
    <row r="171" s="19" customFormat="1" ht="12.75" x14ac:dyDescent="0.2"/>
    <row r="172" s="19" customFormat="1" ht="12.75" x14ac:dyDescent="0.2"/>
    <row r="173" s="19" customFormat="1" ht="12.75" x14ac:dyDescent="0.2"/>
    <row r="174" s="19" customFormat="1" ht="12.75" x14ac:dyDescent="0.2"/>
    <row r="175" s="19" customFormat="1" ht="12.75" x14ac:dyDescent="0.2"/>
    <row r="176" s="19" customFormat="1" ht="12.75" x14ac:dyDescent="0.2"/>
    <row r="177" s="19" customFormat="1" ht="12.75" x14ac:dyDescent="0.2"/>
    <row r="178" s="19" customFormat="1" ht="12.75" x14ac:dyDescent="0.2"/>
    <row r="179" s="19" customFormat="1" ht="12.75" x14ac:dyDescent="0.2"/>
    <row r="180" s="19" customFormat="1" ht="12.75" x14ac:dyDescent="0.2"/>
    <row r="181" s="19" customFormat="1" ht="12.75" x14ac:dyDescent="0.2"/>
    <row r="182" s="19" customFormat="1" ht="12.75" x14ac:dyDescent="0.2"/>
    <row r="183" s="19" customFormat="1" ht="12.75" x14ac:dyDescent="0.2"/>
    <row r="184" s="19" customFormat="1" ht="12.75" x14ac:dyDescent="0.2"/>
    <row r="185" s="19" customFormat="1" ht="12.75" x14ac:dyDescent="0.2"/>
    <row r="186" s="19" customFormat="1" ht="12.75" x14ac:dyDescent="0.2"/>
    <row r="187" s="19" customFormat="1" ht="12.75" x14ac:dyDescent="0.2"/>
    <row r="188" s="19" customFormat="1" ht="12.75" x14ac:dyDescent="0.2"/>
    <row r="189" s="19" customFormat="1" ht="12.75" x14ac:dyDescent="0.2"/>
    <row r="190" s="19" customFormat="1" ht="12.75" x14ac:dyDescent="0.2"/>
    <row r="191" s="19" customFormat="1" ht="12.75" x14ac:dyDescent="0.2"/>
    <row r="192" s="19" customFormat="1" ht="12.75" x14ac:dyDescent="0.2"/>
    <row r="193" s="19" customFormat="1" ht="12.75" x14ac:dyDescent="0.2"/>
    <row r="194" s="19" customFormat="1" ht="12.75" x14ac:dyDescent="0.2"/>
    <row r="195" s="19" customFormat="1" ht="12.75" x14ac:dyDescent="0.2"/>
    <row r="196" s="19" customFormat="1" ht="12.75" x14ac:dyDescent="0.2"/>
    <row r="197" s="19" customFormat="1" ht="12.75" x14ac:dyDescent="0.2"/>
    <row r="198" s="19" customFormat="1" ht="12.75" x14ac:dyDescent="0.2"/>
    <row r="199" s="19" customFormat="1" ht="12.75" x14ac:dyDescent="0.2"/>
    <row r="200" s="19" customFormat="1" ht="12.75" x14ac:dyDescent="0.2"/>
    <row r="201" s="19" customFormat="1" ht="12.75" x14ac:dyDescent="0.2"/>
    <row r="202" s="19" customFormat="1" ht="12.75" x14ac:dyDescent="0.2"/>
    <row r="203" s="19" customFormat="1" ht="12.75" x14ac:dyDescent="0.2"/>
    <row r="204" s="19" customFormat="1" ht="12.75" x14ac:dyDescent="0.2"/>
    <row r="205" s="19" customFormat="1" ht="12.75" x14ac:dyDescent="0.2"/>
    <row r="206" s="19" customFormat="1" ht="12.75" x14ac:dyDescent="0.2"/>
    <row r="207" s="19" customFormat="1" ht="12.75" x14ac:dyDescent="0.2"/>
    <row r="208" s="19" customFormat="1" ht="12.75" x14ac:dyDescent="0.2"/>
    <row r="209" spans="1:27" s="19" customFormat="1" ht="12.75" x14ac:dyDescent="0.2"/>
    <row r="210" spans="1:27" s="19" customFormat="1" ht="12.75" x14ac:dyDescent="0.2"/>
    <row r="211" spans="1:27" s="19" customFormat="1" ht="12.75" x14ac:dyDescent="0.2"/>
    <row r="212" spans="1:27" s="19" customFormat="1" ht="12.75" x14ac:dyDescent="0.2"/>
    <row r="213" spans="1:27" s="19" customFormat="1" ht="12.75" x14ac:dyDescent="0.2"/>
    <row r="214" spans="1:27" s="19" customFormat="1" ht="12.75" x14ac:dyDescent="0.2"/>
    <row r="215" spans="1:27" s="19" customFormat="1" ht="12.75" x14ac:dyDescent="0.2"/>
    <row r="216" spans="1:27" s="19" customFormat="1" ht="12.75" x14ac:dyDescent="0.2"/>
    <row r="217" spans="1:27" s="19" customFormat="1" ht="12.75" x14ac:dyDescent="0.2"/>
    <row r="218" spans="1:27" s="19" customFormat="1" ht="12.75" x14ac:dyDescent="0.2"/>
    <row r="219" spans="1:27" s="19" customFormat="1" ht="12.75" x14ac:dyDescent="0.2"/>
    <row r="220" spans="1:27" s="19" customFormat="1" ht="12.75" x14ac:dyDescent="0.2"/>
    <row r="221" spans="1:27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1:27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</sheetData>
  <sheetProtection algorithmName="SHA-512" hashValue="zy3Pp1fkdA5E/6HXdkq0L7sNGEGNYr9rQGkTWqweHwJmXdRZR2QtPovfTCCV0xMH19mae9JAiLqr1Owcse5B+g==" saltValue="hZmw9ZL1JoDVl+y/bAPAqg==" spinCount="100000" sheet="1" formatCells="0" formatColumns="0" formatRows="0" insertColumns="0" insertRows="0" sort="0" autoFilter="0" pivotTables="0"/>
  <mergeCells count="15">
    <mergeCell ref="B76:D76"/>
    <mergeCell ref="B77:D77"/>
    <mergeCell ref="H19:I19"/>
    <mergeCell ref="A20:C21"/>
    <mergeCell ref="A44:C44"/>
    <mergeCell ref="A65:C65"/>
    <mergeCell ref="A69:C69"/>
    <mergeCell ref="A71:F71"/>
    <mergeCell ref="A17:C18"/>
    <mergeCell ref="H18:I18"/>
    <mergeCell ref="C4:I4"/>
    <mergeCell ref="B6:D6"/>
    <mergeCell ref="B7:D7"/>
    <mergeCell ref="H14:I14"/>
    <mergeCell ref="H15:I15"/>
  </mergeCells>
  <conditionalFormatting sqref="A65:D65">
    <cfRule type="expression" dxfId="16" priority="16">
      <formula>$T$15="OUI"</formula>
    </cfRule>
  </conditionalFormatting>
  <conditionalFormatting sqref="B83:B94">
    <cfRule type="notContainsBlanks" dxfId="15" priority="1">
      <formula>LEN(TRIM(B83))&gt;0</formula>
    </cfRule>
  </conditionalFormatting>
  <conditionalFormatting sqref="B51:C62">
    <cfRule type="notContainsBlanks" dxfId="14" priority="2">
      <formula>LEN(TRIM(B51))&gt;0</formula>
    </cfRule>
  </conditionalFormatting>
  <conditionalFormatting sqref="B7:D7">
    <cfRule type="notContainsBlanks" dxfId="13" priority="13">
      <formula>LEN(TRIM(B7))&gt;0</formula>
    </cfRule>
  </conditionalFormatting>
  <conditionalFormatting sqref="D9">
    <cfRule type="notContainsBlanks" dxfId="12" priority="10">
      <formula>LEN(TRIM(D9))&gt;0</formula>
    </cfRule>
  </conditionalFormatting>
  <conditionalFormatting sqref="D11">
    <cfRule type="notContainsBlanks" dxfId="11" priority="9">
      <formula>LEN(TRIM(D11))&gt;0</formula>
    </cfRule>
  </conditionalFormatting>
  <conditionalFormatting sqref="D13">
    <cfRule type="notContainsBlanks" dxfId="10" priority="8">
      <formula>LEN(TRIM(D13))&gt;0</formula>
    </cfRule>
  </conditionalFormatting>
  <conditionalFormatting sqref="D17">
    <cfRule type="expression" dxfId="9" priority="17">
      <formula>$T$15="OUI"</formula>
    </cfRule>
  </conditionalFormatting>
  <conditionalFormatting sqref="D35:D36">
    <cfRule type="notContainsBlanks" dxfId="8" priority="3">
      <formula>LEN(TRIM(D35))&gt;0</formula>
    </cfRule>
  </conditionalFormatting>
  <conditionalFormatting sqref="E17">
    <cfRule type="notContainsBlanks" dxfId="7" priority="7">
      <formula>LEN(TRIM(E17))&gt;0</formula>
    </cfRule>
  </conditionalFormatting>
  <conditionalFormatting sqref="E20">
    <cfRule type="notContainsBlanks" dxfId="6" priority="6">
      <formula>LEN(TRIM(E20))&gt;0</formula>
    </cfRule>
  </conditionalFormatting>
  <conditionalFormatting sqref="F27">
    <cfRule type="notContainsBlanks" dxfId="5" priority="5">
      <formula>LEN(TRIM(F27))&gt;0</formula>
    </cfRule>
  </conditionalFormatting>
  <conditionalFormatting sqref="F32">
    <cfRule type="notContainsBlanks" dxfId="4" priority="4">
      <formula>LEN(TRIM(F32))&gt;0</formula>
    </cfRule>
  </conditionalFormatting>
  <conditionalFormatting sqref="H52:H60">
    <cfRule type="expression" dxfId="3" priority="15">
      <formula>$T$15="OUI"</formula>
    </cfRule>
  </conditionalFormatting>
  <conditionalFormatting sqref="I6">
    <cfRule type="notContainsBlanks" dxfId="2" priority="12">
      <formula>LEN(TRIM(I6))&gt;0</formula>
    </cfRule>
  </conditionalFormatting>
  <conditionalFormatting sqref="I8">
    <cfRule type="notContainsBlanks" dxfId="1" priority="11">
      <formula>LEN(TRIM(I8))&gt;0</formula>
    </cfRule>
  </conditionalFormatting>
  <conditionalFormatting sqref="I58:J58">
    <cfRule type="expression" dxfId="0" priority="14">
      <formula>$T$15="OUI"</formula>
    </cfRule>
  </conditionalFormatting>
  <dataValidations count="1">
    <dataValidation type="list" allowBlank="1" showInputMessage="1" showErrorMessage="1" sqref="M5" xr:uid="{83537500-A241-47BE-894D-D2ACAFAF3A0F}">
      <formula1>"BRUT,NET"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6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CP Année Incomplète au 31-05</vt:lpstr>
      <vt:lpstr>Ind Comp. de CP A. Incomplète</vt:lpstr>
      <vt:lpstr>Exemple CP AI au 31-05</vt:lpstr>
      <vt:lpstr>Exemple Ind Comp. de CP 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2021-03-16T13:22:38Z</cp:lastPrinted>
  <dcterms:created xsi:type="dcterms:W3CDTF">2021-02-14T18:04:12Z</dcterms:created>
  <dcterms:modified xsi:type="dcterms:W3CDTF">2025-05-05T17:01:28Z</dcterms:modified>
</cp:coreProperties>
</file>