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Mon Drive\Clé usb\FoFGTA\Autres outils\"/>
    </mc:Choice>
  </mc:AlternateContent>
  <xr:revisionPtr revIDLastSave="0" documentId="13_ncr:1_{5C89D94A-FE47-422E-BB9D-3009F0B9FEDA}" xr6:coauthVersionLast="47" xr6:coauthVersionMax="47" xr10:uidLastSave="{00000000-0000-0000-0000-000000000000}"/>
  <bookViews>
    <workbookView xWindow="-120" yWindow="-120" windowWidth="20730" windowHeight="11160" tabRatio="695" xr2:uid="{00000000-000D-0000-FFFF-FFFF00000000}"/>
  </bookViews>
  <sheets>
    <sheet name="CP comp maintien - 10% jrs pris" sheetId="24" r:id="rId1"/>
    <sheet name="Ind Comp. de Congés Payés" sheetId="25" r:id="rId2"/>
    <sheet name="Exemple CP comp maintien-10%" sheetId="23" r:id="rId3"/>
    <sheet name="Exemple Ind Comp. de CP" sheetId="22" r:id="rId4"/>
  </sheets>
  <definedNames>
    <definedName name="base_ICCP" localSheetId="1">'Ind Comp. de Congés Payés'!$AB$1:$AK$7</definedName>
    <definedName name="base_ICCP">'Exemple Ind Comp. de CP'!$AB$1:$AK$7</definedName>
    <definedName name="Base_iccp_3105" localSheetId="0">'CP comp maintien - 10% jrs pris'!$BE$1:$BN$7</definedName>
    <definedName name="Base_iccp_3105">'Exemple CP comp maintien-10%'!$BK$1:$CU$7</definedName>
    <definedName name="bd" localSheetId="1">'Ind Comp. de Congés Payés'!$AN$2:$AU$43</definedName>
    <definedName name="bd">'Exemple Ind Comp. de CP'!$AN$2:$AU$43</definedName>
    <definedName name="Bd_3105" localSheetId="0">'CP comp maintien - 10% jrs pris'!$BQ$2:$BX$32</definedName>
    <definedName name="Bd_3105">'Exemple CP comp maintien-10%'!$CX$2:$CZ$32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25" l="1"/>
  <c r="H142" i="25" s="1"/>
  <c r="G119" i="25"/>
  <c r="H119" i="25" s="1"/>
  <c r="G97" i="25"/>
  <c r="H97" i="25" s="1"/>
  <c r="G76" i="25"/>
  <c r="H76" i="25" s="1"/>
  <c r="G56" i="25"/>
  <c r="H56" i="25" s="1"/>
  <c r="H166" i="25" l="1"/>
  <c r="D17" i="24"/>
  <c r="J55" i="23" l="1"/>
  <c r="J37" i="23"/>
  <c r="D55" i="23"/>
  <c r="D37" i="23"/>
  <c r="P136" i="24"/>
  <c r="N136" i="24"/>
  <c r="D133" i="24" s="1"/>
  <c r="D136" i="24" s="1"/>
  <c r="E136" i="24"/>
  <c r="J133" i="24"/>
  <c r="J136" i="24" s="1"/>
  <c r="BL132" i="24"/>
  <c r="BI132" i="24"/>
  <c r="BF132" i="24"/>
  <c r="BC132" i="24"/>
  <c r="AZ132" i="24"/>
  <c r="AW132" i="24"/>
  <c r="AV132" i="24"/>
  <c r="F132" i="24"/>
  <c r="BL131" i="24"/>
  <c r="BI131" i="24"/>
  <c r="BF131" i="24"/>
  <c r="BC131" i="24"/>
  <c r="AZ131" i="24"/>
  <c r="AW131" i="24"/>
  <c r="AV131" i="24"/>
  <c r="F131" i="24"/>
  <c r="BL130" i="24"/>
  <c r="BI130" i="24"/>
  <c r="BF130" i="24"/>
  <c r="BC130" i="24"/>
  <c r="AZ130" i="24"/>
  <c r="AW130" i="24"/>
  <c r="AV130" i="24"/>
  <c r="F130" i="24"/>
  <c r="BL129" i="24"/>
  <c r="BI129" i="24"/>
  <c r="BF129" i="24"/>
  <c r="BC129" i="24"/>
  <c r="AZ129" i="24"/>
  <c r="AW129" i="24"/>
  <c r="AV129" i="24"/>
  <c r="F129" i="24"/>
  <c r="BL128" i="24"/>
  <c r="BI128" i="24"/>
  <c r="BF128" i="24"/>
  <c r="BC128" i="24"/>
  <c r="AZ128" i="24"/>
  <c r="AW128" i="24"/>
  <c r="AV128" i="24"/>
  <c r="F128" i="24"/>
  <c r="BL127" i="24"/>
  <c r="BI127" i="24"/>
  <c r="BF127" i="24"/>
  <c r="BC127" i="24"/>
  <c r="AZ127" i="24"/>
  <c r="AW127" i="24"/>
  <c r="AV127" i="24"/>
  <c r="F127" i="24"/>
  <c r="BL126" i="24"/>
  <c r="BI126" i="24"/>
  <c r="BF126" i="24"/>
  <c r="BC126" i="24"/>
  <c r="AZ126" i="24"/>
  <c r="AW126" i="24"/>
  <c r="AV126" i="24"/>
  <c r="F126" i="24"/>
  <c r="BL125" i="24"/>
  <c r="BI125" i="24"/>
  <c r="BF125" i="24"/>
  <c r="BC125" i="24"/>
  <c r="AZ125" i="24"/>
  <c r="AW125" i="24"/>
  <c r="AV125" i="24"/>
  <c r="F125" i="24"/>
  <c r="BL124" i="24"/>
  <c r="BI124" i="24"/>
  <c r="BF124" i="24"/>
  <c r="BC124" i="24"/>
  <c r="AZ124" i="24"/>
  <c r="AW124" i="24"/>
  <c r="AV124" i="24"/>
  <c r="F124" i="24"/>
  <c r="BL123" i="24"/>
  <c r="BI123" i="24"/>
  <c r="BF123" i="24"/>
  <c r="BC123" i="24"/>
  <c r="AZ123" i="24"/>
  <c r="AW123" i="24"/>
  <c r="AV123" i="24"/>
  <c r="F123" i="24"/>
  <c r="BL122" i="24"/>
  <c r="BI122" i="24"/>
  <c r="BF122" i="24"/>
  <c r="BC122" i="24"/>
  <c r="AZ122" i="24"/>
  <c r="AW122" i="24"/>
  <c r="AV122" i="24"/>
  <c r="F122" i="24"/>
  <c r="BL121" i="24"/>
  <c r="BI121" i="24"/>
  <c r="BF121" i="24"/>
  <c r="BC121" i="24"/>
  <c r="AZ121" i="24"/>
  <c r="AW121" i="24"/>
  <c r="AV121" i="24"/>
  <c r="F121" i="24"/>
  <c r="P117" i="24"/>
  <c r="J115" i="24" s="1"/>
  <c r="J117" i="24" s="1"/>
  <c r="K117" i="24" s="1"/>
  <c r="N117" i="24"/>
  <c r="D115" i="24" s="1"/>
  <c r="D117" i="24" s="1"/>
  <c r="E117" i="24"/>
  <c r="BL114" i="24"/>
  <c r="BI114" i="24"/>
  <c r="BF114" i="24"/>
  <c r="BC114" i="24"/>
  <c r="AZ114" i="24"/>
  <c r="AW114" i="24"/>
  <c r="AV114" i="24"/>
  <c r="F114" i="24"/>
  <c r="BL113" i="24"/>
  <c r="BI113" i="24"/>
  <c r="BF113" i="24"/>
  <c r="BC113" i="24"/>
  <c r="AZ113" i="24"/>
  <c r="AW113" i="24"/>
  <c r="AV113" i="24"/>
  <c r="F113" i="24"/>
  <c r="BL112" i="24"/>
  <c r="BI112" i="24"/>
  <c r="BF112" i="24"/>
  <c r="BC112" i="24"/>
  <c r="AZ112" i="24"/>
  <c r="AW112" i="24"/>
  <c r="AV112" i="24"/>
  <c r="F112" i="24"/>
  <c r="BL111" i="24"/>
  <c r="BI111" i="24"/>
  <c r="BF111" i="24"/>
  <c r="BC111" i="24"/>
  <c r="AZ111" i="24"/>
  <c r="AW111" i="24"/>
  <c r="AV111" i="24"/>
  <c r="F111" i="24"/>
  <c r="BL110" i="24"/>
  <c r="BI110" i="24"/>
  <c r="BF110" i="24"/>
  <c r="BC110" i="24"/>
  <c r="AZ110" i="24"/>
  <c r="AW110" i="24"/>
  <c r="AV110" i="24"/>
  <c r="F110" i="24"/>
  <c r="BL109" i="24"/>
  <c r="BI109" i="24"/>
  <c r="BF109" i="24"/>
  <c r="BC109" i="24"/>
  <c r="AZ109" i="24"/>
  <c r="AW109" i="24"/>
  <c r="AV109" i="24"/>
  <c r="F109" i="24"/>
  <c r="BL108" i="24"/>
  <c r="BI108" i="24"/>
  <c r="BF108" i="24"/>
  <c r="BC108" i="24"/>
  <c r="AZ108" i="24"/>
  <c r="AW108" i="24"/>
  <c r="AV108" i="24"/>
  <c r="F108" i="24"/>
  <c r="BL107" i="24"/>
  <c r="BI107" i="24"/>
  <c r="BF107" i="24"/>
  <c r="BC107" i="24"/>
  <c r="AZ107" i="24"/>
  <c r="AW107" i="24"/>
  <c r="AV107" i="24"/>
  <c r="F107" i="24"/>
  <c r="BL106" i="24"/>
  <c r="BI106" i="24"/>
  <c r="BF106" i="24"/>
  <c r="BC106" i="24"/>
  <c r="AZ106" i="24"/>
  <c r="AW106" i="24"/>
  <c r="AV106" i="24"/>
  <c r="F106" i="24"/>
  <c r="BL105" i="24"/>
  <c r="BI105" i="24"/>
  <c r="BF105" i="24"/>
  <c r="BC105" i="24"/>
  <c r="AZ105" i="24"/>
  <c r="AW105" i="24"/>
  <c r="AV105" i="24"/>
  <c r="F105" i="24"/>
  <c r="BL104" i="24"/>
  <c r="BI104" i="24"/>
  <c r="BF104" i="24"/>
  <c r="BC104" i="24"/>
  <c r="AZ104" i="24"/>
  <c r="AW104" i="24"/>
  <c r="AV104" i="24"/>
  <c r="F104" i="24"/>
  <c r="BL103" i="24"/>
  <c r="BI103" i="24"/>
  <c r="BF103" i="24"/>
  <c r="BC103" i="24"/>
  <c r="AZ103" i="24"/>
  <c r="AW103" i="24"/>
  <c r="AV103" i="24"/>
  <c r="F103" i="24"/>
  <c r="N102" i="24"/>
  <c r="N120" i="24" s="1"/>
  <c r="M102" i="24"/>
  <c r="M120" i="24" s="1"/>
  <c r="P99" i="24"/>
  <c r="J97" i="24" s="1"/>
  <c r="J99" i="24" s="1"/>
  <c r="K99" i="24" s="1"/>
  <c r="N99" i="24"/>
  <c r="D97" i="24" s="1"/>
  <c r="D99" i="24" s="1"/>
  <c r="E99" i="24"/>
  <c r="BL96" i="24"/>
  <c r="BI96" i="24"/>
  <c r="BF96" i="24"/>
  <c r="BC96" i="24"/>
  <c r="AZ96" i="24"/>
  <c r="AW96" i="24"/>
  <c r="AV96" i="24"/>
  <c r="F96" i="24"/>
  <c r="BL95" i="24"/>
  <c r="BI95" i="24"/>
  <c r="BF95" i="24"/>
  <c r="BC95" i="24"/>
  <c r="AZ95" i="24"/>
  <c r="AW95" i="24"/>
  <c r="AV95" i="24"/>
  <c r="F95" i="24"/>
  <c r="BL94" i="24"/>
  <c r="BI94" i="24"/>
  <c r="BF94" i="24"/>
  <c r="BC94" i="24"/>
  <c r="AZ94" i="24"/>
  <c r="AW94" i="24"/>
  <c r="AV94" i="24"/>
  <c r="F94" i="24"/>
  <c r="BL93" i="24"/>
  <c r="BI93" i="24"/>
  <c r="BF93" i="24"/>
  <c r="BC93" i="24"/>
  <c r="AZ93" i="24"/>
  <c r="AW93" i="24"/>
  <c r="AV93" i="24"/>
  <c r="F93" i="24"/>
  <c r="BL92" i="24"/>
  <c r="BI92" i="24"/>
  <c r="BF92" i="24"/>
  <c r="BC92" i="24"/>
  <c r="AZ92" i="24"/>
  <c r="AW92" i="24"/>
  <c r="AV92" i="24"/>
  <c r="F92" i="24"/>
  <c r="BL91" i="24"/>
  <c r="BI91" i="24"/>
  <c r="BF91" i="24"/>
  <c r="BC91" i="24"/>
  <c r="AZ91" i="24"/>
  <c r="AW91" i="24"/>
  <c r="AV91" i="24"/>
  <c r="F91" i="24"/>
  <c r="BL90" i="24"/>
  <c r="BI90" i="24"/>
  <c r="BF90" i="24"/>
  <c r="BC90" i="24"/>
  <c r="AZ90" i="24"/>
  <c r="AW90" i="24"/>
  <c r="AV90" i="24"/>
  <c r="F90" i="24"/>
  <c r="BL89" i="24"/>
  <c r="BI89" i="24"/>
  <c r="BF89" i="24"/>
  <c r="BC89" i="24"/>
  <c r="AZ89" i="24"/>
  <c r="AW89" i="24"/>
  <c r="AV89" i="24"/>
  <c r="F89" i="24"/>
  <c r="BL88" i="24"/>
  <c r="BI88" i="24"/>
  <c r="BF88" i="24"/>
  <c r="BC88" i="24"/>
  <c r="AZ88" i="24"/>
  <c r="AW88" i="24"/>
  <c r="AV88" i="24"/>
  <c r="F88" i="24"/>
  <c r="BL87" i="24"/>
  <c r="BI87" i="24"/>
  <c r="BF87" i="24"/>
  <c r="BC87" i="24"/>
  <c r="AZ87" i="24"/>
  <c r="AW87" i="24"/>
  <c r="AV87" i="24"/>
  <c r="F87" i="24"/>
  <c r="BL86" i="24"/>
  <c r="BI86" i="24"/>
  <c r="BF86" i="24"/>
  <c r="BC86" i="24"/>
  <c r="AZ86" i="24"/>
  <c r="AW86" i="24"/>
  <c r="AV86" i="24"/>
  <c r="F86" i="24"/>
  <c r="BL85" i="24"/>
  <c r="BI85" i="24"/>
  <c r="BF85" i="24"/>
  <c r="BC85" i="24"/>
  <c r="AZ85" i="24"/>
  <c r="AW85" i="24"/>
  <c r="AV85" i="24"/>
  <c r="F85" i="24"/>
  <c r="N84" i="24"/>
  <c r="M84" i="24"/>
  <c r="P81" i="24"/>
  <c r="J79" i="24" s="1"/>
  <c r="J81" i="24" s="1"/>
  <c r="K81" i="24" s="1"/>
  <c r="N81" i="24"/>
  <c r="D79" i="24" s="1"/>
  <c r="D81" i="24" s="1"/>
  <c r="E81" i="24"/>
  <c r="BL78" i="24"/>
  <c r="BI78" i="24"/>
  <c r="BF78" i="24"/>
  <c r="BC78" i="24"/>
  <c r="AZ78" i="24"/>
  <c r="AW78" i="24"/>
  <c r="AV78" i="24"/>
  <c r="F78" i="24"/>
  <c r="BL77" i="24"/>
  <c r="BI77" i="24"/>
  <c r="BF77" i="24"/>
  <c r="BC77" i="24"/>
  <c r="AZ77" i="24"/>
  <c r="AW77" i="24"/>
  <c r="AV77" i="24"/>
  <c r="F77" i="24"/>
  <c r="BL75" i="24"/>
  <c r="BI75" i="24"/>
  <c r="BF75" i="24"/>
  <c r="BC75" i="24"/>
  <c r="AZ75" i="24"/>
  <c r="AW75" i="24"/>
  <c r="AV75" i="24"/>
  <c r="F75" i="24"/>
  <c r="BL74" i="24"/>
  <c r="BI74" i="24"/>
  <c r="BF74" i="24"/>
  <c r="BC74" i="24"/>
  <c r="AZ74" i="24"/>
  <c r="AW74" i="24"/>
  <c r="AV74" i="24"/>
  <c r="F74" i="24"/>
  <c r="AV73" i="24"/>
  <c r="F73" i="24"/>
  <c r="BL72" i="24"/>
  <c r="BI72" i="24"/>
  <c r="BF72" i="24"/>
  <c r="BC72" i="24"/>
  <c r="AZ72" i="24"/>
  <c r="AW72" i="24"/>
  <c r="AV72" i="24"/>
  <c r="F72" i="24"/>
  <c r="BL71" i="24"/>
  <c r="BI71" i="24"/>
  <c r="BF71" i="24"/>
  <c r="BC71" i="24"/>
  <c r="AZ71" i="24"/>
  <c r="AW71" i="24"/>
  <c r="AV71" i="24"/>
  <c r="F71" i="24"/>
  <c r="BL70" i="24"/>
  <c r="BI70" i="24"/>
  <c r="BF70" i="24"/>
  <c r="BC70" i="24"/>
  <c r="AZ70" i="24"/>
  <c r="AW70" i="24"/>
  <c r="AV70" i="24"/>
  <c r="F70" i="24"/>
  <c r="AV69" i="24"/>
  <c r="F69" i="24"/>
  <c r="BL68" i="24"/>
  <c r="BI68" i="24"/>
  <c r="BF68" i="24"/>
  <c r="BC68" i="24"/>
  <c r="AZ68" i="24"/>
  <c r="AW68" i="24"/>
  <c r="AV68" i="24"/>
  <c r="F68" i="24"/>
  <c r="BL67" i="24"/>
  <c r="BI67" i="24"/>
  <c r="BF67" i="24"/>
  <c r="BC67" i="24"/>
  <c r="AZ67" i="24"/>
  <c r="AW67" i="24"/>
  <c r="AV67" i="24"/>
  <c r="F67" i="24"/>
  <c r="N66" i="24"/>
  <c r="M66" i="24"/>
  <c r="P63" i="24"/>
  <c r="J61" i="24" s="1"/>
  <c r="J63" i="24" s="1"/>
  <c r="K63" i="24" s="1"/>
  <c r="N63" i="24"/>
  <c r="D61" i="24" s="1"/>
  <c r="D63" i="24" s="1"/>
  <c r="E63" i="24"/>
  <c r="BL58" i="24"/>
  <c r="BI58" i="24"/>
  <c r="BF58" i="24"/>
  <c r="BC58" i="24"/>
  <c r="AZ58" i="24"/>
  <c r="AW58" i="24"/>
  <c r="AV58" i="24"/>
  <c r="F58" i="24"/>
  <c r="BL56" i="24"/>
  <c r="BI56" i="24"/>
  <c r="BF56" i="24"/>
  <c r="BC56" i="24"/>
  <c r="AZ56" i="24"/>
  <c r="AW56" i="24"/>
  <c r="AV56" i="24"/>
  <c r="F56" i="24"/>
  <c r="AV55" i="24"/>
  <c r="F55" i="24"/>
  <c r="BL54" i="24"/>
  <c r="BI54" i="24"/>
  <c r="BF54" i="24"/>
  <c r="BC54" i="24"/>
  <c r="AZ54" i="24"/>
  <c r="AW54" i="24"/>
  <c r="AV54" i="24"/>
  <c r="F54" i="24"/>
  <c r="N48" i="24"/>
  <c r="M48" i="24"/>
  <c r="D48" i="24"/>
  <c r="D66" i="24" s="1"/>
  <c r="D84" i="24" s="1"/>
  <c r="D102" i="24" s="1"/>
  <c r="D120" i="24" s="1"/>
  <c r="P45" i="24"/>
  <c r="J43" i="24" s="1"/>
  <c r="J45" i="24" s="1"/>
  <c r="K45" i="24" s="1"/>
  <c r="N45" i="24"/>
  <c r="D43" i="24" s="1"/>
  <c r="D45" i="24" s="1"/>
  <c r="E45" i="24"/>
  <c r="BL42" i="24"/>
  <c r="BI42" i="24"/>
  <c r="BF42" i="24"/>
  <c r="BC42" i="24"/>
  <c r="AZ42" i="24"/>
  <c r="AW42" i="24"/>
  <c r="AV42" i="24"/>
  <c r="F42" i="24"/>
  <c r="AW41" i="24"/>
  <c r="AZ41" i="24" s="1"/>
  <c r="AV41" i="24"/>
  <c r="F41" i="24"/>
  <c r="BL40" i="24"/>
  <c r="BI40" i="24"/>
  <c r="BF40" i="24"/>
  <c r="BC40" i="24"/>
  <c r="AZ40" i="24"/>
  <c r="AW40" i="24"/>
  <c r="AV40" i="24"/>
  <c r="F40" i="24"/>
  <c r="BL39" i="24"/>
  <c r="BI39" i="24"/>
  <c r="BF39" i="24"/>
  <c r="BC39" i="24"/>
  <c r="AZ39" i="24"/>
  <c r="AW39" i="24"/>
  <c r="AV39" i="24"/>
  <c r="F39" i="24"/>
  <c r="BL38" i="24"/>
  <c r="BI38" i="24"/>
  <c r="BF38" i="24"/>
  <c r="BC38" i="24"/>
  <c r="AZ38" i="24"/>
  <c r="AW38" i="24"/>
  <c r="AV38" i="24"/>
  <c r="F38" i="24"/>
  <c r="BL37" i="24"/>
  <c r="BI37" i="24"/>
  <c r="BF37" i="24"/>
  <c r="BC37" i="24"/>
  <c r="AZ37" i="24"/>
  <c r="AW37" i="24"/>
  <c r="AV37" i="24"/>
  <c r="F37" i="24"/>
  <c r="BL36" i="24"/>
  <c r="BI36" i="24"/>
  <c r="BF36" i="24"/>
  <c r="BC36" i="24"/>
  <c r="AZ36" i="24"/>
  <c r="AW36" i="24"/>
  <c r="AV36" i="24"/>
  <c r="F36" i="24"/>
  <c r="BL35" i="24"/>
  <c r="BI35" i="24"/>
  <c r="BF35" i="24"/>
  <c r="BC35" i="24"/>
  <c r="AZ35" i="24"/>
  <c r="AW35" i="24"/>
  <c r="AV35" i="24"/>
  <c r="F35" i="24"/>
  <c r="BL34" i="24"/>
  <c r="BI34" i="24"/>
  <c r="BF34" i="24"/>
  <c r="BC34" i="24"/>
  <c r="AZ34" i="24"/>
  <c r="AW34" i="24"/>
  <c r="AV34" i="24"/>
  <c r="F34" i="24"/>
  <c r="AW33" i="24"/>
  <c r="AV33" i="24"/>
  <c r="F33" i="24"/>
  <c r="BL32" i="24"/>
  <c r="BI32" i="24"/>
  <c r="BF32" i="24"/>
  <c r="BC32" i="24"/>
  <c r="AZ32" i="24"/>
  <c r="AW32" i="24"/>
  <c r="AV32" i="24"/>
  <c r="F32" i="24"/>
  <c r="BL31" i="24"/>
  <c r="BM31" i="24" s="1"/>
  <c r="BI31" i="24"/>
  <c r="BJ31" i="24" s="1"/>
  <c r="BF31" i="24"/>
  <c r="BC31" i="24"/>
  <c r="BD31" i="24" s="1"/>
  <c r="AZ31" i="24"/>
  <c r="BA31" i="24" s="1"/>
  <c r="AW31" i="24"/>
  <c r="AX31" i="24" s="1"/>
  <c r="AX32" i="24" s="1"/>
  <c r="AV31" i="24"/>
  <c r="G31" i="24"/>
  <c r="G32" i="24" s="1"/>
  <c r="G33" i="24" s="1"/>
  <c r="G34" i="24" s="1"/>
  <c r="G35" i="24" s="1"/>
  <c r="G36" i="24" s="1"/>
  <c r="G37" i="24" s="1"/>
  <c r="G38" i="24" s="1"/>
  <c r="G39" i="24" s="1"/>
  <c r="G40" i="24" s="1"/>
  <c r="G41" i="24" s="1"/>
  <c r="G42" i="24" s="1"/>
  <c r="G49" i="24" s="1"/>
  <c r="F31" i="24"/>
  <c r="B31" i="24"/>
  <c r="A31" i="24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2" i="24" s="1"/>
  <c r="P30" i="24"/>
  <c r="J30" i="24"/>
  <c r="J48" i="24" s="1"/>
  <c r="J66" i="24" s="1"/>
  <c r="J84" i="24" s="1"/>
  <c r="J102" i="24" s="1"/>
  <c r="J120" i="24" s="1"/>
  <c r="F28" i="24"/>
  <c r="H26" i="24"/>
  <c r="F13" i="24"/>
  <c r="E13" i="24"/>
  <c r="C9" i="24"/>
  <c r="BO132" i="23"/>
  <c r="BL132" i="23"/>
  <c r="BI132" i="23"/>
  <c r="BF132" i="23"/>
  <c r="BC132" i="23"/>
  <c r="AZ132" i="23"/>
  <c r="AY132" i="23"/>
  <c r="BO131" i="23"/>
  <c r="BL131" i="23"/>
  <c r="BI131" i="23"/>
  <c r="BF131" i="23"/>
  <c r="BC131" i="23"/>
  <c r="AZ131" i="23"/>
  <c r="AY131" i="23"/>
  <c r="BO130" i="23"/>
  <c r="BL130" i="23"/>
  <c r="BI130" i="23"/>
  <c r="BF130" i="23"/>
  <c r="BC130" i="23"/>
  <c r="AZ130" i="23"/>
  <c r="AY130" i="23"/>
  <c r="BO129" i="23"/>
  <c r="BL129" i="23"/>
  <c r="BI129" i="23"/>
  <c r="BF129" i="23"/>
  <c r="BC129" i="23"/>
  <c r="AZ129" i="23"/>
  <c r="AY129" i="23"/>
  <c r="BO128" i="23"/>
  <c r="BL128" i="23"/>
  <c r="BI128" i="23"/>
  <c r="BF128" i="23"/>
  <c r="BC128" i="23"/>
  <c r="AZ128" i="23"/>
  <c r="AY128" i="23"/>
  <c r="BO127" i="23"/>
  <c r="BL127" i="23"/>
  <c r="BI127" i="23"/>
  <c r="BF127" i="23"/>
  <c r="BC127" i="23"/>
  <c r="AZ127" i="23"/>
  <c r="AY127" i="23"/>
  <c r="BO126" i="23"/>
  <c r="BL126" i="23"/>
  <c r="BI126" i="23"/>
  <c r="BF126" i="23"/>
  <c r="BC126" i="23"/>
  <c r="AZ126" i="23"/>
  <c r="AY126" i="23"/>
  <c r="BO125" i="23"/>
  <c r="BL125" i="23"/>
  <c r="BI125" i="23"/>
  <c r="BF125" i="23"/>
  <c r="BC125" i="23"/>
  <c r="AZ125" i="23"/>
  <c r="AY125" i="23"/>
  <c r="BO124" i="23"/>
  <c r="BL124" i="23"/>
  <c r="BI124" i="23"/>
  <c r="BF124" i="23"/>
  <c r="BC124" i="23"/>
  <c r="AZ124" i="23"/>
  <c r="AY124" i="23"/>
  <c r="BO123" i="23"/>
  <c r="BL123" i="23"/>
  <c r="BI123" i="23"/>
  <c r="BF123" i="23"/>
  <c r="BC123" i="23"/>
  <c r="AZ123" i="23"/>
  <c r="AY123" i="23"/>
  <c r="BO122" i="23"/>
  <c r="BL122" i="23"/>
  <c r="BI122" i="23"/>
  <c r="BF122" i="23"/>
  <c r="BC122" i="23"/>
  <c r="AZ122" i="23"/>
  <c r="AY122" i="23"/>
  <c r="BO121" i="23"/>
  <c r="BL121" i="23"/>
  <c r="BI121" i="23"/>
  <c r="BF121" i="23"/>
  <c r="BC121" i="23"/>
  <c r="AZ121" i="23"/>
  <c r="AY121" i="23"/>
  <c r="BO114" i="23"/>
  <c r="BL114" i="23"/>
  <c r="BI114" i="23"/>
  <c r="BF114" i="23"/>
  <c r="BC114" i="23"/>
  <c r="AZ114" i="23"/>
  <c r="AY114" i="23"/>
  <c r="BO113" i="23"/>
  <c r="BL113" i="23"/>
  <c r="BI113" i="23"/>
  <c r="BF113" i="23"/>
  <c r="BC113" i="23"/>
  <c r="AZ113" i="23"/>
  <c r="AY113" i="23"/>
  <c r="BO112" i="23"/>
  <c r="BL112" i="23"/>
  <c r="BI112" i="23"/>
  <c r="BF112" i="23"/>
  <c r="BC112" i="23"/>
  <c r="AZ112" i="23"/>
  <c r="AY112" i="23"/>
  <c r="BO111" i="23"/>
  <c r="BL111" i="23"/>
  <c r="BI111" i="23"/>
  <c r="BF111" i="23"/>
  <c r="BC111" i="23"/>
  <c r="AZ111" i="23"/>
  <c r="AY111" i="23"/>
  <c r="BO110" i="23"/>
  <c r="BL110" i="23"/>
  <c r="BI110" i="23"/>
  <c r="BF110" i="23"/>
  <c r="BC110" i="23"/>
  <c r="AZ110" i="23"/>
  <c r="AY110" i="23"/>
  <c r="BO109" i="23"/>
  <c r="BL109" i="23"/>
  <c r="BI109" i="23"/>
  <c r="BF109" i="23"/>
  <c r="BC109" i="23"/>
  <c r="AZ109" i="23"/>
  <c r="AY109" i="23"/>
  <c r="BO108" i="23"/>
  <c r="BL108" i="23"/>
  <c r="BI108" i="23"/>
  <c r="BF108" i="23"/>
  <c r="BC108" i="23"/>
  <c r="AZ108" i="23"/>
  <c r="AY108" i="23"/>
  <c r="BO107" i="23"/>
  <c r="BL107" i="23"/>
  <c r="BI107" i="23"/>
  <c r="BF107" i="23"/>
  <c r="BC107" i="23"/>
  <c r="AZ107" i="23"/>
  <c r="AY107" i="23"/>
  <c r="BO106" i="23"/>
  <c r="BL106" i="23"/>
  <c r="BI106" i="23"/>
  <c r="BF106" i="23"/>
  <c r="BC106" i="23"/>
  <c r="AZ106" i="23"/>
  <c r="AY106" i="23"/>
  <c r="BO105" i="23"/>
  <c r="BL105" i="23"/>
  <c r="BI105" i="23"/>
  <c r="BF105" i="23"/>
  <c r="BC105" i="23"/>
  <c r="AZ105" i="23"/>
  <c r="AY105" i="23"/>
  <c r="BO104" i="23"/>
  <c r="BL104" i="23"/>
  <c r="BI104" i="23"/>
  <c r="BF104" i="23"/>
  <c r="BC104" i="23"/>
  <c r="AZ104" i="23"/>
  <c r="AY104" i="23"/>
  <c r="BO103" i="23"/>
  <c r="BL103" i="23"/>
  <c r="BI103" i="23"/>
  <c r="BF103" i="23"/>
  <c r="BC103" i="23"/>
  <c r="AZ103" i="23"/>
  <c r="AY103" i="23"/>
  <c r="BO96" i="23"/>
  <c r="BL96" i="23"/>
  <c r="BI96" i="23"/>
  <c r="BF96" i="23"/>
  <c r="BC96" i="23"/>
  <c r="AZ96" i="23"/>
  <c r="AY96" i="23"/>
  <c r="BO95" i="23"/>
  <c r="BL95" i="23"/>
  <c r="BI95" i="23"/>
  <c r="BF95" i="23"/>
  <c r="BC95" i="23"/>
  <c r="AZ95" i="23"/>
  <c r="AY95" i="23"/>
  <c r="BO94" i="23"/>
  <c r="BL94" i="23"/>
  <c r="BI94" i="23"/>
  <c r="BF94" i="23"/>
  <c r="BC94" i="23"/>
  <c r="AZ94" i="23"/>
  <c r="AY94" i="23"/>
  <c r="BO93" i="23"/>
  <c r="BL93" i="23"/>
  <c r="BI93" i="23"/>
  <c r="BF93" i="23"/>
  <c r="BC93" i="23"/>
  <c r="AZ93" i="23"/>
  <c r="AY93" i="23"/>
  <c r="BO92" i="23"/>
  <c r="BL92" i="23"/>
  <c r="BI92" i="23"/>
  <c r="BF92" i="23"/>
  <c r="BC92" i="23"/>
  <c r="AZ92" i="23"/>
  <c r="AY92" i="23"/>
  <c r="BO91" i="23"/>
  <c r="BL91" i="23"/>
  <c r="BI91" i="23"/>
  <c r="BF91" i="23"/>
  <c r="BC91" i="23"/>
  <c r="AZ91" i="23"/>
  <c r="AY91" i="23"/>
  <c r="BO90" i="23"/>
  <c r="BL90" i="23"/>
  <c r="BI90" i="23"/>
  <c r="BF90" i="23"/>
  <c r="BC90" i="23"/>
  <c r="AZ90" i="23"/>
  <c r="AY90" i="23"/>
  <c r="BO89" i="23"/>
  <c r="BL89" i="23"/>
  <c r="BI89" i="23"/>
  <c r="BF89" i="23"/>
  <c r="BC89" i="23"/>
  <c r="AZ89" i="23"/>
  <c r="AY89" i="23"/>
  <c r="BO88" i="23"/>
  <c r="BL88" i="23"/>
  <c r="BI88" i="23"/>
  <c r="BF88" i="23"/>
  <c r="BC88" i="23"/>
  <c r="AZ88" i="23"/>
  <c r="AY88" i="23"/>
  <c r="BO87" i="23"/>
  <c r="BL87" i="23"/>
  <c r="BI87" i="23"/>
  <c r="BF87" i="23"/>
  <c r="BC87" i="23"/>
  <c r="AZ87" i="23"/>
  <c r="AY87" i="23"/>
  <c r="BO86" i="23"/>
  <c r="BL86" i="23"/>
  <c r="BI86" i="23"/>
  <c r="BF86" i="23"/>
  <c r="BC86" i="23"/>
  <c r="AZ86" i="23"/>
  <c r="AY86" i="23"/>
  <c r="BO85" i="23"/>
  <c r="BL85" i="23"/>
  <c r="BI85" i="23"/>
  <c r="BF85" i="23"/>
  <c r="BC85" i="23"/>
  <c r="AZ85" i="23"/>
  <c r="AY85" i="23"/>
  <c r="BO78" i="23"/>
  <c r="BL78" i="23"/>
  <c r="BI78" i="23"/>
  <c r="BF78" i="23"/>
  <c r="BC78" i="23"/>
  <c r="AZ78" i="23"/>
  <c r="AY78" i="23"/>
  <c r="BO77" i="23"/>
  <c r="BL77" i="23"/>
  <c r="BI77" i="23"/>
  <c r="BF77" i="23"/>
  <c r="BC77" i="23"/>
  <c r="AZ77" i="23"/>
  <c r="AY77" i="23"/>
  <c r="BO75" i="23"/>
  <c r="BL75" i="23"/>
  <c r="BI75" i="23"/>
  <c r="BF75" i="23"/>
  <c r="BC75" i="23"/>
  <c r="AZ75" i="23"/>
  <c r="AY75" i="23"/>
  <c r="BO74" i="23"/>
  <c r="BL74" i="23"/>
  <c r="BI74" i="23"/>
  <c r="BF74" i="23"/>
  <c r="BC74" i="23"/>
  <c r="AZ74" i="23"/>
  <c r="AY74" i="23"/>
  <c r="BO72" i="23"/>
  <c r="BL72" i="23"/>
  <c r="BI72" i="23"/>
  <c r="BF72" i="23"/>
  <c r="BC72" i="23"/>
  <c r="AZ72" i="23"/>
  <c r="AY72" i="23"/>
  <c r="BO71" i="23"/>
  <c r="BL71" i="23"/>
  <c r="BI71" i="23"/>
  <c r="BF71" i="23"/>
  <c r="BC71" i="23"/>
  <c r="AZ71" i="23"/>
  <c r="AY71" i="23"/>
  <c r="BO70" i="23"/>
  <c r="BL70" i="23"/>
  <c r="BI70" i="23"/>
  <c r="BF70" i="23"/>
  <c r="BC70" i="23"/>
  <c r="AZ70" i="23"/>
  <c r="AY70" i="23"/>
  <c r="BO68" i="23"/>
  <c r="BL68" i="23"/>
  <c r="BI68" i="23"/>
  <c r="BF68" i="23"/>
  <c r="BC68" i="23"/>
  <c r="AZ68" i="23"/>
  <c r="AY68" i="23"/>
  <c r="BO67" i="23"/>
  <c r="BL67" i="23"/>
  <c r="BI67" i="23"/>
  <c r="BF67" i="23"/>
  <c r="BC67" i="23"/>
  <c r="AZ67" i="23"/>
  <c r="AY67" i="23"/>
  <c r="F132" i="23"/>
  <c r="F131" i="23"/>
  <c r="F130" i="23"/>
  <c r="F129" i="23"/>
  <c r="F128" i="23"/>
  <c r="F127" i="23"/>
  <c r="F126" i="23"/>
  <c r="F125" i="23"/>
  <c r="F124" i="23"/>
  <c r="F123" i="23"/>
  <c r="F122" i="23"/>
  <c r="F121" i="23"/>
  <c r="F114" i="23"/>
  <c r="F113" i="23"/>
  <c r="F112" i="23"/>
  <c r="F111" i="23"/>
  <c r="F110" i="23"/>
  <c r="F109" i="23"/>
  <c r="F108" i="23"/>
  <c r="F107" i="23"/>
  <c r="F106" i="23"/>
  <c r="F105" i="23"/>
  <c r="F104" i="23"/>
  <c r="F103" i="23"/>
  <c r="F96" i="23"/>
  <c r="F95" i="23"/>
  <c r="F94" i="23"/>
  <c r="F93" i="23"/>
  <c r="F92" i="23"/>
  <c r="F91" i="23"/>
  <c r="F90" i="23"/>
  <c r="F89" i="23"/>
  <c r="F88" i="23"/>
  <c r="F87" i="23"/>
  <c r="F86" i="23"/>
  <c r="F85" i="23"/>
  <c r="F78" i="23"/>
  <c r="F77" i="23"/>
  <c r="F75" i="23"/>
  <c r="F74" i="23"/>
  <c r="F72" i="23"/>
  <c r="F71" i="23"/>
  <c r="F70" i="23"/>
  <c r="F68" i="23"/>
  <c r="F67" i="23"/>
  <c r="F58" i="23"/>
  <c r="F56" i="23"/>
  <c r="F54" i="23"/>
  <c r="E45" i="23"/>
  <c r="AZ58" i="23"/>
  <c r="AZ56" i="23"/>
  <c r="BO58" i="23"/>
  <c r="BL58" i="23"/>
  <c r="BI58" i="23"/>
  <c r="BF58" i="23"/>
  <c r="BC58" i="23"/>
  <c r="BO56" i="23"/>
  <c r="BL56" i="23"/>
  <c r="BI56" i="23"/>
  <c r="BF56" i="23"/>
  <c r="BC56" i="23"/>
  <c r="BC31" i="23"/>
  <c r="AY58" i="23"/>
  <c r="AY56" i="23"/>
  <c r="AY54" i="23"/>
  <c r="F34" i="23"/>
  <c r="F35" i="23"/>
  <c r="F36" i="23"/>
  <c r="F37" i="23"/>
  <c r="F38" i="23"/>
  <c r="F39" i="23"/>
  <c r="F40" i="23"/>
  <c r="F41" i="23"/>
  <c r="F42" i="23"/>
  <c r="AY34" i="23"/>
  <c r="AY35" i="23"/>
  <c r="AY36" i="23"/>
  <c r="AY37" i="23"/>
  <c r="AY38" i="23"/>
  <c r="AY39" i="23"/>
  <c r="AY40" i="23"/>
  <c r="AY41" i="23"/>
  <c r="AY42" i="23"/>
  <c r="C9" i="23"/>
  <c r="M167" i="25"/>
  <c r="G165" i="25" s="1"/>
  <c r="G167" i="25" s="1"/>
  <c r="AU8" i="25" s="1"/>
  <c r="AU9" i="25" s="1"/>
  <c r="K167" i="25"/>
  <c r="D165" i="25" s="1"/>
  <c r="D167" i="25" s="1"/>
  <c r="AU15" i="25" s="1"/>
  <c r="AU16" i="25" s="1"/>
  <c r="E167" i="25"/>
  <c r="M143" i="25"/>
  <c r="G141" i="25" s="1"/>
  <c r="G143" i="25" s="1"/>
  <c r="K143" i="25"/>
  <c r="E143" i="25"/>
  <c r="D141" i="25"/>
  <c r="K128" i="25"/>
  <c r="K152" i="25" s="1"/>
  <c r="J128" i="25"/>
  <c r="J152" i="25" s="1"/>
  <c r="M120" i="25"/>
  <c r="G118" i="25" s="1"/>
  <c r="G120" i="25" s="1"/>
  <c r="K120" i="25"/>
  <c r="D118" i="25" s="1"/>
  <c r="E119" i="25" s="1"/>
  <c r="E120" i="25"/>
  <c r="K105" i="25"/>
  <c r="J105" i="25"/>
  <c r="M98" i="25"/>
  <c r="G96" i="25" s="1"/>
  <c r="G98" i="25" s="1"/>
  <c r="K98" i="25"/>
  <c r="D96" i="25" s="1"/>
  <c r="E97" i="25" s="1"/>
  <c r="E98" i="25"/>
  <c r="K83" i="25"/>
  <c r="J83" i="25"/>
  <c r="M77" i="25"/>
  <c r="K77" i="25"/>
  <c r="E77" i="25"/>
  <c r="D77" i="25"/>
  <c r="AT11" i="25" s="1"/>
  <c r="G75" i="25"/>
  <c r="D75" i="25"/>
  <c r="E76" i="25" s="1"/>
  <c r="K62" i="25"/>
  <c r="J62" i="25"/>
  <c r="D62" i="25"/>
  <c r="D83" i="25" s="1"/>
  <c r="D105" i="25" s="1"/>
  <c r="D128" i="25" s="1"/>
  <c r="D152" i="25" s="1"/>
  <c r="M57" i="25"/>
  <c r="K57" i="25"/>
  <c r="D55" i="25" s="1"/>
  <c r="E57" i="25"/>
  <c r="G55" i="25"/>
  <c r="B43" i="25"/>
  <c r="A43" i="25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M42" i="25"/>
  <c r="M128" i="25" s="1"/>
  <c r="M152" i="25" s="1"/>
  <c r="G42" i="25"/>
  <c r="G62" i="25" s="1"/>
  <c r="G83" i="25" s="1"/>
  <c r="G105" i="25" s="1"/>
  <c r="G128" i="25" s="1"/>
  <c r="G152" i="25" s="1"/>
  <c r="G34" i="25"/>
  <c r="C32" i="25"/>
  <c r="C23" i="25"/>
  <c r="C21" i="25"/>
  <c r="F13" i="25"/>
  <c r="E13" i="25"/>
  <c r="C9" i="25"/>
  <c r="F28" i="23"/>
  <c r="H26" i="23"/>
  <c r="D17" i="23"/>
  <c r="G31" i="23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AZ33" i="24" l="1"/>
  <c r="AX33" i="24"/>
  <c r="AX34" i="24" s="1"/>
  <c r="AX35" i="24" s="1"/>
  <c r="AX36" i="24" s="1"/>
  <c r="AX37" i="24" s="1"/>
  <c r="AX38" i="24" s="1"/>
  <c r="AX39" i="24" s="1"/>
  <c r="AX40" i="24" s="1"/>
  <c r="AX41" i="24" s="1"/>
  <c r="AX42" i="24" s="1"/>
  <c r="K136" i="24"/>
  <c r="BE131" i="24"/>
  <c r="BE58" i="24"/>
  <c r="AY68" i="24"/>
  <c r="BK68" i="24"/>
  <c r="BN56" i="24"/>
  <c r="BN123" i="24"/>
  <c r="BN126" i="24"/>
  <c r="BN130" i="24"/>
  <c r="BB68" i="23"/>
  <c r="BB70" i="23"/>
  <c r="AU5" i="25"/>
  <c r="AS5" i="25"/>
  <c r="AT5" i="25"/>
  <c r="AR5" i="25"/>
  <c r="AU7" i="25"/>
  <c r="AT7" i="25"/>
  <c r="AT9" i="25" s="1"/>
  <c r="D143" i="25"/>
  <c r="E142" i="25"/>
  <c r="D120" i="25"/>
  <c r="D98" i="25"/>
  <c r="AT6" i="25"/>
  <c r="AS6" i="25"/>
  <c r="AS9" i="25" s="1"/>
  <c r="AU11" i="25"/>
  <c r="D57" i="25"/>
  <c r="AQ10" i="25" s="1"/>
  <c r="E56" i="25"/>
  <c r="M105" i="25"/>
  <c r="AU6" i="25"/>
  <c r="BN105" i="24"/>
  <c r="BN109" i="24"/>
  <c r="BN113" i="24"/>
  <c r="AY74" i="24"/>
  <c r="BK74" i="24"/>
  <c r="AY75" i="24"/>
  <c r="BK75" i="24"/>
  <c r="AY58" i="24"/>
  <c r="BK58" i="24"/>
  <c r="BE68" i="24"/>
  <c r="BE74" i="24"/>
  <c r="BE75" i="24"/>
  <c r="AY131" i="24"/>
  <c r="BK131" i="24"/>
  <c r="BH31" i="24"/>
  <c r="BN42" i="24"/>
  <c r="BN85" i="24"/>
  <c r="BN89" i="24"/>
  <c r="BN93" i="24"/>
  <c r="BN34" i="24"/>
  <c r="BN38" i="24"/>
  <c r="BN70" i="24"/>
  <c r="BN77" i="24"/>
  <c r="AQ11" i="25"/>
  <c r="AQ16" i="25" s="1"/>
  <c r="AS11" i="25"/>
  <c r="BC41" i="24"/>
  <c r="BE41" i="24" s="1"/>
  <c r="AR11" i="25"/>
  <c r="G77" i="25"/>
  <c r="G57" i="25"/>
  <c r="F16" i="25"/>
  <c r="BK88" i="24"/>
  <c r="BK96" i="24"/>
  <c r="BE104" i="24"/>
  <c r="BK108" i="24"/>
  <c r="BE112" i="24"/>
  <c r="AY132" i="24"/>
  <c r="BE132" i="24"/>
  <c r="BK132" i="24"/>
  <c r="BH85" i="23"/>
  <c r="BB87" i="23"/>
  <c r="BB89" i="23"/>
  <c r="BN105" i="23"/>
  <c r="BH68" i="23"/>
  <c r="BH70" i="23"/>
  <c r="BB72" i="23"/>
  <c r="BN108" i="23"/>
  <c r="BH122" i="23"/>
  <c r="BH124" i="23"/>
  <c r="BH126" i="23"/>
  <c r="BH128" i="23"/>
  <c r="BH130" i="23"/>
  <c r="BB107" i="23"/>
  <c r="BN85" i="23"/>
  <c r="BH121" i="23"/>
  <c r="BQ67" i="23"/>
  <c r="BQ71" i="23"/>
  <c r="BE74" i="23"/>
  <c r="BK74" i="23"/>
  <c r="BE78" i="23"/>
  <c r="BK78" i="23"/>
  <c r="BQ78" i="23"/>
  <c r="BK86" i="23"/>
  <c r="BQ86" i="23"/>
  <c r="BK88" i="23"/>
  <c r="BQ88" i="23"/>
  <c r="BK90" i="23"/>
  <c r="BQ90" i="23"/>
  <c r="BQ104" i="23"/>
  <c r="BQ106" i="23"/>
  <c r="BE109" i="23"/>
  <c r="BK109" i="23"/>
  <c r="BE111" i="23"/>
  <c r="BK111" i="23"/>
  <c r="BE113" i="23"/>
  <c r="BK113" i="23"/>
  <c r="BK121" i="23"/>
  <c r="BN121" i="23"/>
  <c r="BB67" i="23"/>
  <c r="BH67" i="23"/>
  <c r="BK68" i="23"/>
  <c r="BQ68" i="23"/>
  <c r="BK70" i="23"/>
  <c r="BQ70" i="23"/>
  <c r="BB71" i="23"/>
  <c r="BH71" i="23"/>
  <c r="BE72" i="23"/>
  <c r="BK72" i="23"/>
  <c r="BN72" i="23"/>
  <c r="BN74" i="23"/>
  <c r="BE85" i="23"/>
  <c r="BQ85" i="23"/>
  <c r="BB86" i="23"/>
  <c r="BK87" i="23"/>
  <c r="BQ87" i="23"/>
  <c r="BB88" i="23"/>
  <c r="BK89" i="23"/>
  <c r="BQ89" i="23"/>
  <c r="BB90" i="23"/>
  <c r="BE105" i="23"/>
  <c r="BK105" i="23"/>
  <c r="BE107" i="23"/>
  <c r="BK107" i="23"/>
  <c r="BN107" i="23"/>
  <c r="BQ108" i="23"/>
  <c r="BN109" i="23"/>
  <c r="BQ110" i="23"/>
  <c r="BN111" i="23"/>
  <c r="BQ112" i="23"/>
  <c r="BN113" i="23"/>
  <c r="BN77" i="23"/>
  <c r="BH86" i="23"/>
  <c r="BH88" i="23"/>
  <c r="BH90" i="23"/>
  <c r="BH92" i="23"/>
  <c r="BH94" i="23"/>
  <c r="BN104" i="23"/>
  <c r="BB111" i="23"/>
  <c r="BN112" i="23"/>
  <c r="BN67" i="23"/>
  <c r="BN71" i="23"/>
  <c r="BB74" i="23"/>
  <c r="BN75" i="23"/>
  <c r="BB78" i="23"/>
  <c r="BH87" i="23"/>
  <c r="BH89" i="23"/>
  <c r="BH91" i="23"/>
  <c r="BH93" i="23"/>
  <c r="BH95" i="23"/>
  <c r="BB105" i="23"/>
  <c r="BN106" i="23"/>
  <c r="BB109" i="23"/>
  <c r="BN110" i="23"/>
  <c r="BB113" i="23"/>
  <c r="BB114" i="23"/>
  <c r="BH123" i="23"/>
  <c r="BH125" i="23"/>
  <c r="BH127" i="23"/>
  <c r="BH129" i="23"/>
  <c r="BH131" i="23"/>
  <c r="BE58" i="23"/>
  <c r="BQ58" i="23"/>
  <c r="BB56" i="23"/>
  <c r="BB75" i="23"/>
  <c r="BH75" i="23"/>
  <c r="BQ75" i="23"/>
  <c r="BB77" i="23"/>
  <c r="BH77" i="23"/>
  <c r="BQ77" i="23"/>
  <c r="BE122" i="23"/>
  <c r="BE123" i="23"/>
  <c r="BE124" i="23"/>
  <c r="BE125" i="23"/>
  <c r="BE126" i="23"/>
  <c r="BE127" i="23"/>
  <c r="BE128" i="23"/>
  <c r="BE129" i="23"/>
  <c r="BE130" i="23"/>
  <c r="BE131" i="23"/>
  <c r="BE132" i="23"/>
  <c r="BK132" i="23"/>
  <c r="BQ132" i="23"/>
  <c r="BE56" i="23"/>
  <c r="BQ56" i="23"/>
  <c r="BB58" i="23"/>
  <c r="BE67" i="23"/>
  <c r="BK67" i="23"/>
  <c r="BE68" i="23"/>
  <c r="BE70" i="23"/>
  <c r="BE71" i="23"/>
  <c r="BK71" i="23"/>
  <c r="BH72" i="23"/>
  <c r="BQ72" i="23"/>
  <c r="BH74" i="23"/>
  <c r="BQ74" i="23"/>
  <c r="BE75" i="23"/>
  <c r="BK75" i="23"/>
  <c r="BE77" i="23"/>
  <c r="BK77" i="23"/>
  <c r="BH78" i="23"/>
  <c r="BB85" i="23"/>
  <c r="BK85" i="23"/>
  <c r="BE86" i="23"/>
  <c r="BE87" i="23"/>
  <c r="BE88" i="23"/>
  <c r="BE89" i="23"/>
  <c r="BE90" i="23"/>
  <c r="BE91" i="23"/>
  <c r="BE92" i="23"/>
  <c r="BE93" i="23"/>
  <c r="BE94" i="23"/>
  <c r="BE95" i="23"/>
  <c r="BE96" i="23"/>
  <c r="BK96" i="23"/>
  <c r="BQ96" i="23"/>
  <c r="BB104" i="23"/>
  <c r="BH104" i="23"/>
  <c r="BB106" i="23"/>
  <c r="BH106" i="23"/>
  <c r="BB108" i="23"/>
  <c r="BH108" i="23"/>
  <c r="BB110" i="23"/>
  <c r="BH110" i="23"/>
  <c r="BB112" i="23"/>
  <c r="BH112" i="23"/>
  <c r="BH114" i="23"/>
  <c r="BB121" i="23"/>
  <c r="BB91" i="23"/>
  <c r="BK91" i="23"/>
  <c r="BQ91" i="23"/>
  <c r="BB92" i="23"/>
  <c r="BK92" i="23"/>
  <c r="BQ92" i="23"/>
  <c r="BB93" i="23"/>
  <c r="BK93" i="23"/>
  <c r="BQ93" i="23"/>
  <c r="BB94" i="23"/>
  <c r="BK94" i="23"/>
  <c r="BQ94" i="23"/>
  <c r="BB95" i="23"/>
  <c r="BK95" i="23"/>
  <c r="BQ95" i="23"/>
  <c r="BB96" i="23"/>
  <c r="BH96" i="23"/>
  <c r="BE104" i="23"/>
  <c r="BK104" i="23"/>
  <c r="BH105" i="23"/>
  <c r="BQ105" i="23"/>
  <c r="BE106" i="23"/>
  <c r="BK106" i="23"/>
  <c r="BH107" i="23"/>
  <c r="BQ107" i="23"/>
  <c r="BE108" i="23"/>
  <c r="BK108" i="23"/>
  <c r="BH109" i="23"/>
  <c r="BQ109" i="23"/>
  <c r="BE110" i="23"/>
  <c r="BK110" i="23"/>
  <c r="BH111" i="23"/>
  <c r="BQ111" i="23"/>
  <c r="BE112" i="23"/>
  <c r="BK112" i="23"/>
  <c r="BH113" i="23"/>
  <c r="BQ113" i="23"/>
  <c r="BE114" i="23"/>
  <c r="BK114" i="23"/>
  <c r="BQ114" i="23"/>
  <c r="BE121" i="23"/>
  <c r="BQ121" i="23"/>
  <c r="BB122" i="23"/>
  <c r="BK122" i="23"/>
  <c r="BQ122" i="23"/>
  <c r="BB123" i="23"/>
  <c r="BK123" i="23"/>
  <c r="BQ123" i="23"/>
  <c r="BB124" i="23"/>
  <c r="BK124" i="23"/>
  <c r="BQ124" i="23"/>
  <c r="BB125" i="23"/>
  <c r="BK125" i="23"/>
  <c r="BQ125" i="23"/>
  <c r="BB126" i="23"/>
  <c r="BK126" i="23"/>
  <c r="BQ126" i="23"/>
  <c r="BB127" i="23"/>
  <c r="BK127" i="23"/>
  <c r="BQ127" i="23"/>
  <c r="BB128" i="23"/>
  <c r="BK128" i="23"/>
  <c r="BQ128" i="23"/>
  <c r="BB129" i="23"/>
  <c r="BK129" i="23"/>
  <c r="BQ129" i="23"/>
  <c r="BB130" i="23"/>
  <c r="BK130" i="23"/>
  <c r="BQ130" i="23"/>
  <c r="BB131" i="23"/>
  <c r="BK131" i="23"/>
  <c r="BQ131" i="23"/>
  <c r="BB132" i="23"/>
  <c r="BH132" i="23"/>
  <c r="BR68" i="23"/>
  <c r="BR70" i="23"/>
  <c r="BR71" i="23"/>
  <c r="BR72" i="23"/>
  <c r="BR74" i="23"/>
  <c r="BR75" i="23"/>
  <c r="BR77" i="23"/>
  <c r="BR86" i="23"/>
  <c r="BN86" i="23"/>
  <c r="BR87" i="23"/>
  <c r="BN87" i="23"/>
  <c r="BR88" i="23"/>
  <c r="BN88" i="23"/>
  <c r="BR89" i="23"/>
  <c r="BN89" i="23"/>
  <c r="BR90" i="23"/>
  <c r="BN90" i="23"/>
  <c r="BR91" i="23"/>
  <c r="BN91" i="23"/>
  <c r="BR92" i="23"/>
  <c r="BN92" i="23"/>
  <c r="BR93" i="23"/>
  <c r="BN93" i="23"/>
  <c r="BR94" i="23"/>
  <c r="BN94" i="23"/>
  <c r="BR95" i="23"/>
  <c r="BN95" i="23"/>
  <c r="BB103" i="23"/>
  <c r="BH103" i="23"/>
  <c r="BN103" i="23"/>
  <c r="BR114" i="23"/>
  <c r="BN68" i="23"/>
  <c r="BN70" i="23"/>
  <c r="BR78" i="23"/>
  <c r="BE103" i="23"/>
  <c r="BK103" i="23"/>
  <c r="BQ103" i="23"/>
  <c r="BR122" i="23"/>
  <c r="BN122" i="23"/>
  <c r="BR123" i="23"/>
  <c r="BN123" i="23"/>
  <c r="BR124" i="23"/>
  <c r="BN124" i="23"/>
  <c r="BR125" i="23"/>
  <c r="BN125" i="23"/>
  <c r="BR126" i="23"/>
  <c r="BN126" i="23"/>
  <c r="BR127" i="23"/>
  <c r="BN127" i="23"/>
  <c r="BR128" i="23"/>
  <c r="BN128" i="23"/>
  <c r="BR129" i="23"/>
  <c r="BN129" i="23"/>
  <c r="BR130" i="23"/>
  <c r="BN130" i="23"/>
  <c r="BR131" i="23"/>
  <c r="BN131" i="23"/>
  <c r="BR96" i="23"/>
  <c r="BR104" i="23"/>
  <c r="BR105" i="23"/>
  <c r="BR106" i="23"/>
  <c r="BR107" i="23"/>
  <c r="BR108" i="23"/>
  <c r="BR109" i="23"/>
  <c r="BR110" i="23"/>
  <c r="BR111" i="23"/>
  <c r="BR112" i="23"/>
  <c r="BR113" i="23"/>
  <c r="BR132" i="23"/>
  <c r="BN88" i="24"/>
  <c r="AY86" i="24"/>
  <c r="BE86" i="24"/>
  <c r="BK86" i="24"/>
  <c r="AY87" i="24"/>
  <c r="BE87" i="24"/>
  <c r="BK87" i="24"/>
  <c r="AY106" i="24"/>
  <c r="BE106" i="24"/>
  <c r="BK106" i="24"/>
  <c r="AY107" i="24"/>
  <c r="BE107" i="24"/>
  <c r="BK107" i="24"/>
  <c r="BE108" i="24"/>
  <c r="AY114" i="24"/>
  <c r="BE114" i="24"/>
  <c r="BK114" i="24"/>
  <c r="BJ32" i="24"/>
  <c r="BE72" i="24"/>
  <c r="BK125" i="24"/>
  <c r="BH37" i="24"/>
  <c r="BB41" i="24"/>
  <c r="BB96" i="24"/>
  <c r="BN96" i="24"/>
  <c r="BH104" i="24"/>
  <c r="BK104" i="24"/>
  <c r="BH122" i="24"/>
  <c r="BB125" i="24"/>
  <c r="BE125" i="24"/>
  <c r="AY39" i="24"/>
  <c r="BE39" i="24"/>
  <c r="BK39" i="24"/>
  <c r="AY40" i="24"/>
  <c r="BE40" i="24"/>
  <c r="BK40" i="24"/>
  <c r="BB88" i="24"/>
  <c r="BE88" i="24"/>
  <c r="AY94" i="24"/>
  <c r="BE94" i="24"/>
  <c r="BK94" i="24"/>
  <c r="AY95" i="24"/>
  <c r="BE95" i="24"/>
  <c r="BK95" i="24"/>
  <c r="BE96" i="24"/>
  <c r="BB108" i="24"/>
  <c r="BN108" i="24"/>
  <c r="AY124" i="24"/>
  <c r="BE124" i="24"/>
  <c r="BK124" i="24"/>
  <c r="BN125" i="24"/>
  <c r="BO37" i="24"/>
  <c r="BO88" i="24"/>
  <c r="BO92" i="24"/>
  <c r="BO122" i="24"/>
  <c r="BO125" i="24"/>
  <c r="BO129" i="24"/>
  <c r="BD32" i="24"/>
  <c r="BG31" i="24"/>
  <c r="BG32" i="24" s="1"/>
  <c r="BE37" i="24"/>
  <c r="BK37" i="24"/>
  <c r="BO72" i="24"/>
  <c r="BE92" i="24"/>
  <c r="BO96" i="24"/>
  <c r="BO104" i="24"/>
  <c r="BO108" i="24"/>
  <c r="BO112" i="24"/>
  <c r="BE122" i="24"/>
  <c r="BK122" i="24"/>
  <c r="BE129" i="24"/>
  <c r="BB32" i="24"/>
  <c r="BH32" i="24"/>
  <c r="AY33" i="24"/>
  <c r="BB54" i="24"/>
  <c r="BH54" i="24"/>
  <c r="BB35" i="24"/>
  <c r="BH35" i="24"/>
  <c r="BN35" i="24"/>
  <c r="BB36" i="24"/>
  <c r="BH36" i="24"/>
  <c r="AY37" i="24"/>
  <c r="BB71" i="24"/>
  <c r="BH71" i="24"/>
  <c r="AY72" i="24"/>
  <c r="BH72" i="24"/>
  <c r="BK72" i="24"/>
  <c r="BB78" i="24"/>
  <c r="BH78" i="24"/>
  <c r="BN78" i="24"/>
  <c r="BB90" i="24"/>
  <c r="BH90" i="24"/>
  <c r="BN90" i="24"/>
  <c r="BB91" i="24"/>
  <c r="BH91" i="24"/>
  <c r="AY92" i="24"/>
  <c r="BB110" i="24"/>
  <c r="BH110" i="24"/>
  <c r="BN110" i="24"/>
  <c r="BB111" i="24"/>
  <c r="BH111" i="24"/>
  <c r="AY112" i="24"/>
  <c r="BB127" i="24"/>
  <c r="BH127" i="24"/>
  <c r="BN127" i="24"/>
  <c r="BB128" i="24"/>
  <c r="BH128" i="24"/>
  <c r="AY129" i="24"/>
  <c r="BB31" i="24"/>
  <c r="BN31" i="24"/>
  <c r="AY32" i="24"/>
  <c r="BE32" i="24"/>
  <c r="BK32" i="24"/>
  <c r="BB33" i="24"/>
  <c r="AY35" i="24"/>
  <c r="BE35" i="24"/>
  <c r="BK35" i="24"/>
  <c r="AY36" i="24"/>
  <c r="BE36" i="24"/>
  <c r="BK36" i="24"/>
  <c r="BB37" i="24"/>
  <c r="BN37" i="24"/>
  <c r="BB39" i="24"/>
  <c r="BH39" i="24"/>
  <c r="BN39" i="24"/>
  <c r="BB40" i="24"/>
  <c r="BH40" i="24"/>
  <c r="AY41" i="24"/>
  <c r="AY54" i="24"/>
  <c r="BE54" i="24"/>
  <c r="BK54" i="24"/>
  <c r="BB58" i="24"/>
  <c r="BH58" i="24"/>
  <c r="BB67" i="24"/>
  <c r="BH67" i="24"/>
  <c r="BN67" i="24"/>
  <c r="BB68" i="24"/>
  <c r="BH68" i="24"/>
  <c r="AY71" i="24"/>
  <c r="BE71" i="24"/>
  <c r="BK71" i="24"/>
  <c r="BB72" i="24"/>
  <c r="BN72" i="24"/>
  <c r="BB74" i="24"/>
  <c r="BH74" i="24"/>
  <c r="BH92" i="24"/>
  <c r="BK92" i="24"/>
  <c r="AY104" i="24"/>
  <c r="BH112" i="24"/>
  <c r="BK112" i="24"/>
  <c r="AY122" i="24"/>
  <c r="BH129" i="24"/>
  <c r="BK129" i="24"/>
  <c r="BN74" i="24"/>
  <c r="BB75" i="24"/>
  <c r="BH75" i="24"/>
  <c r="AY78" i="24"/>
  <c r="BE78" i="24"/>
  <c r="BK78" i="24"/>
  <c r="BB86" i="24"/>
  <c r="BH86" i="24"/>
  <c r="BN86" i="24"/>
  <c r="BB87" i="24"/>
  <c r="BH87" i="24"/>
  <c r="AY88" i="24"/>
  <c r="BH88" i="24"/>
  <c r="AY90" i="24"/>
  <c r="BE90" i="24"/>
  <c r="BK90" i="24"/>
  <c r="AY91" i="24"/>
  <c r="BE91" i="24"/>
  <c r="BK91" i="24"/>
  <c r="BB92" i="24"/>
  <c r="BN92" i="24"/>
  <c r="BB94" i="24"/>
  <c r="BH94" i="24"/>
  <c r="BN94" i="24"/>
  <c r="BB95" i="24"/>
  <c r="BH95" i="24"/>
  <c r="AY96" i="24"/>
  <c r="BH96" i="24"/>
  <c r="AY103" i="24"/>
  <c r="BE103" i="24"/>
  <c r="BK103" i="24"/>
  <c r="BB104" i="24"/>
  <c r="BN104" i="24"/>
  <c r="BB106" i="24"/>
  <c r="BH106" i="24"/>
  <c r="BN106" i="24"/>
  <c r="BB107" i="24"/>
  <c r="BH107" i="24"/>
  <c r="AY108" i="24"/>
  <c r="BH108" i="24"/>
  <c r="AY110" i="24"/>
  <c r="BE110" i="24"/>
  <c r="BK110" i="24"/>
  <c r="AY111" i="24"/>
  <c r="BE111" i="24"/>
  <c r="BK111" i="24"/>
  <c r="BB112" i="24"/>
  <c r="BN112" i="24"/>
  <c r="BB114" i="24"/>
  <c r="BH114" i="24"/>
  <c r="BN114" i="24"/>
  <c r="AY121" i="24"/>
  <c r="BE121" i="24"/>
  <c r="BK121" i="24"/>
  <c r="BB122" i="24"/>
  <c r="BN122" i="24"/>
  <c r="BB124" i="24"/>
  <c r="BH124" i="24"/>
  <c r="AY125" i="24"/>
  <c r="BH125" i="24"/>
  <c r="AY127" i="24"/>
  <c r="BE127" i="24"/>
  <c r="BK127" i="24"/>
  <c r="AY128" i="24"/>
  <c r="BE128" i="24"/>
  <c r="BK128" i="24"/>
  <c r="BB129" i="24"/>
  <c r="BN129" i="24"/>
  <c r="BB131" i="24"/>
  <c r="BH131" i="24"/>
  <c r="BN131" i="24"/>
  <c r="BB132" i="24"/>
  <c r="BH132" i="24"/>
  <c r="AV49" i="24"/>
  <c r="G50" i="24"/>
  <c r="F49" i="24"/>
  <c r="J46" i="24"/>
  <c r="J64" i="24" s="1"/>
  <c r="J82" i="24" s="1"/>
  <c r="J100" i="24" s="1"/>
  <c r="J118" i="24" s="1"/>
  <c r="J137" i="24" s="1"/>
  <c r="BO31" i="24"/>
  <c r="BO32" i="24"/>
  <c r="BB34" i="24"/>
  <c r="BH34" i="24"/>
  <c r="BO35" i="24"/>
  <c r="BO36" i="24"/>
  <c r="BB38" i="24"/>
  <c r="BH38" i="24"/>
  <c r="BO39" i="24"/>
  <c r="BO40" i="24"/>
  <c r="BB42" i="24"/>
  <c r="BH42" i="24"/>
  <c r="F52" i="24"/>
  <c r="BO54" i="24"/>
  <c r="BB56" i="24"/>
  <c r="BH56" i="24"/>
  <c r="BO58" i="24"/>
  <c r="BO67" i="24"/>
  <c r="BO68" i="24"/>
  <c r="BB70" i="24"/>
  <c r="BH70" i="24"/>
  <c r="BO74" i="24"/>
  <c r="BO75" i="24"/>
  <c r="BN75" i="24"/>
  <c r="P102" i="24"/>
  <c r="P120" i="24" s="1"/>
  <c r="P84" i="24"/>
  <c r="C31" i="24"/>
  <c r="M31" i="24" s="1"/>
  <c r="AY31" i="24"/>
  <c r="BA32" i="24"/>
  <c r="BA33" i="24" s="1"/>
  <c r="BA34" i="24" s="1"/>
  <c r="BA35" i="24" s="1"/>
  <c r="BA36" i="24" s="1"/>
  <c r="BA37" i="24" s="1"/>
  <c r="BA38" i="24" s="1"/>
  <c r="BA39" i="24" s="1"/>
  <c r="BA40" i="24" s="1"/>
  <c r="BA41" i="24" s="1"/>
  <c r="BA42" i="24" s="1"/>
  <c r="BE31" i="24"/>
  <c r="BK31" i="24"/>
  <c r="BM32" i="24"/>
  <c r="BN32" i="24"/>
  <c r="AY34" i="24"/>
  <c r="BE34" i="24"/>
  <c r="BK34" i="24"/>
  <c r="BO34" i="24"/>
  <c r="BN36" i="24"/>
  <c r="AY38" i="24"/>
  <c r="BE38" i="24"/>
  <c r="BK38" i="24"/>
  <c r="BO38" i="24"/>
  <c r="BN40" i="24"/>
  <c r="AY42" i="24"/>
  <c r="BE42" i="24"/>
  <c r="BK42" i="24"/>
  <c r="BO42" i="24"/>
  <c r="E46" i="24"/>
  <c r="E64" i="24" s="1"/>
  <c r="E82" i="24" s="1"/>
  <c r="E100" i="24" s="1"/>
  <c r="E118" i="24" s="1"/>
  <c r="E137" i="24" s="1"/>
  <c r="E20" i="24"/>
  <c r="E21" i="24" s="1"/>
  <c r="D46" i="24"/>
  <c r="D64" i="24" s="1"/>
  <c r="D82" i="24" s="1"/>
  <c r="D100" i="24" s="1"/>
  <c r="D118" i="24" s="1"/>
  <c r="D137" i="24" s="1"/>
  <c r="P48" i="24"/>
  <c r="AW49" i="24"/>
  <c r="AV52" i="24"/>
  <c r="BN54" i="24"/>
  <c r="AY56" i="24"/>
  <c r="BE56" i="24"/>
  <c r="BK56" i="24"/>
  <c r="BO56" i="24"/>
  <c r="BN58" i="24"/>
  <c r="P66" i="24"/>
  <c r="AY67" i="24"/>
  <c r="BE67" i="24"/>
  <c r="BK67" i="24"/>
  <c r="BN68" i="24"/>
  <c r="AY70" i="24"/>
  <c r="BE70" i="24"/>
  <c r="BK70" i="24"/>
  <c r="BO70" i="24"/>
  <c r="BB77" i="24"/>
  <c r="BH77" i="24"/>
  <c r="BO78" i="24"/>
  <c r="BB85" i="24"/>
  <c r="BH85" i="24"/>
  <c r="BO86" i="24"/>
  <c r="BO87" i="24"/>
  <c r="BB89" i="24"/>
  <c r="BH89" i="24"/>
  <c r="BO90" i="24"/>
  <c r="BO91" i="24"/>
  <c r="BB93" i="24"/>
  <c r="BH93" i="24"/>
  <c r="BO94" i="24"/>
  <c r="BO95" i="24"/>
  <c r="BO103" i="24"/>
  <c r="BB105" i="24"/>
  <c r="BH105" i="24"/>
  <c r="BO106" i="24"/>
  <c r="BO107" i="24"/>
  <c r="BO110" i="24"/>
  <c r="BO111" i="24"/>
  <c r="BN111" i="24"/>
  <c r="BB113" i="24"/>
  <c r="BH113" i="24"/>
  <c r="BO71" i="24"/>
  <c r="BN71" i="24"/>
  <c r="AY77" i="24"/>
  <c r="BE77" i="24"/>
  <c r="BK77" i="24"/>
  <c r="BO77" i="24"/>
  <c r="AY85" i="24"/>
  <c r="BE85" i="24"/>
  <c r="BK85" i="24"/>
  <c r="BO85" i="24"/>
  <c r="BN87" i="24"/>
  <c r="AY89" i="24"/>
  <c r="BE89" i="24"/>
  <c r="BK89" i="24"/>
  <c r="BO89" i="24"/>
  <c r="BN91" i="24"/>
  <c r="AY93" i="24"/>
  <c r="BE93" i="24"/>
  <c r="BK93" i="24"/>
  <c r="BO93" i="24"/>
  <c r="BN95" i="24"/>
  <c r="BB103" i="24"/>
  <c r="BH103" i="24"/>
  <c r="BN103" i="24"/>
  <c r="AY105" i="24"/>
  <c r="BE105" i="24"/>
  <c r="BK105" i="24"/>
  <c r="BO105" i="24"/>
  <c r="BN107" i="24"/>
  <c r="BB109" i="24"/>
  <c r="BH109" i="24"/>
  <c r="BO114" i="24"/>
  <c r="BB121" i="24"/>
  <c r="BH121" i="24"/>
  <c r="BO121" i="24"/>
  <c r="BN121" i="24"/>
  <c r="BB123" i="24"/>
  <c r="BH123" i="24"/>
  <c r="BO127" i="24"/>
  <c r="BO128" i="24"/>
  <c r="BN128" i="24"/>
  <c r="BB130" i="24"/>
  <c r="BH130" i="24"/>
  <c r="D139" i="24"/>
  <c r="AY109" i="24"/>
  <c r="BE109" i="24"/>
  <c r="BK109" i="24"/>
  <c r="BO109" i="24"/>
  <c r="AY113" i="24"/>
  <c r="BE113" i="24"/>
  <c r="BK113" i="24"/>
  <c r="BO113" i="24"/>
  <c r="AY123" i="24"/>
  <c r="BE123" i="24"/>
  <c r="BK123" i="24"/>
  <c r="BO123" i="24"/>
  <c r="BB126" i="24"/>
  <c r="BH126" i="24"/>
  <c r="BO131" i="24"/>
  <c r="BO132" i="24"/>
  <c r="BN132" i="24"/>
  <c r="BO124" i="24"/>
  <c r="BN124" i="24"/>
  <c r="AY126" i="24"/>
  <c r="BE126" i="24"/>
  <c r="BK126" i="24"/>
  <c r="BO126" i="24"/>
  <c r="AY130" i="24"/>
  <c r="BE130" i="24"/>
  <c r="BK130" i="24"/>
  <c r="BO130" i="24"/>
  <c r="E139" i="24"/>
  <c r="BR121" i="23"/>
  <c r="BN132" i="23"/>
  <c r="BR103" i="23"/>
  <c r="BN114" i="23"/>
  <c r="BR85" i="23"/>
  <c r="BN96" i="23"/>
  <c r="BR67" i="23"/>
  <c r="BN78" i="23"/>
  <c r="BK56" i="23"/>
  <c r="BK58" i="23"/>
  <c r="BH56" i="23"/>
  <c r="BH58" i="23"/>
  <c r="BN56" i="23"/>
  <c r="BN58" i="23"/>
  <c r="BR56" i="23"/>
  <c r="BR58" i="23"/>
  <c r="F32" i="23"/>
  <c r="AY32" i="23"/>
  <c r="F31" i="23"/>
  <c r="F33" i="23"/>
  <c r="AY33" i="23"/>
  <c r="AY31" i="23"/>
  <c r="B44" i="25"/>
  <c r="AB43" i="25"/>
  <c r="C43" i="25"/>
  <c r="J43" i="25" s="1"/>
  <c r="AR10" i="25"/>
  <c r="AP2" i="25"/>
  <c r="A63" i="25"/>
  <c r="E101" i="25"/>
  <c r="AR17" i="25" s="1"/>
  <c r="E60" i="25"/>
  <c r="AP17" i="25" s="1"/>
  <c r="AP23" i="25" s="1"/>
  <c r="AS12" i="25"/>
  <c r="E58" i="25"/>
  <c r="E78" i="25" s="1"/>
  <c r="E99" i="25" s="1"/>
  <c r="E121" i="25" s="1"/>
  <c r="E144" i="25" s="1"/>
  <c r="E168" i="25" s="1"/>
  <c r="M62" i="25"/>
  <c r="M83" i="25"/>
  <c r="G42" i="23"/>
  <c r="P136" i="23"/>
  <c r="J133" i="23" s="1"/>
  <c r="J136" i="23" s="1"/>
  <c r="N136" i="23"/>
  <c r="D133" i="23" s="1"/>
  <c r="E136" i="23"/>
  <c r="P117" i="23"/>
  <c r="N117" i="23"/>
  <c r="D115" i="23" s="1"/>
  <c r="D117" i="23" s="1"/>
  <c r="E117" i="23"/>
  <c r="N102" i="23"/>
  <c r="N120" i="23" s="1"/>
  <c r="M102" i="23"/>
  <c r="M120" i="23" s="1"/>
  <c r="P99" i="23"/>
  <c r="J97" i="23" s="1"/>
  <c r="J99" i="23" s="1"/>
  <c r="K99" i="23" s="1"/>
  <c r="N99" i="23"/>
  <c r="D97" i="23" s="1"/>
  <c r="D99" i="23" s="1"/>
  <c r="E99" i="23"/>
  <c r="N84" i="23"/>
  <c r="M84" i="23"/>
  <c r="P81" i="23"/>
  <c r="J79" i="23" s="1"/>
  <c r="J81" i="23" s="1"/>
  <c r="K81" i="23" s="1"/>
  <c r="N81" i="23"/>
  <c r="D79" i="23" s="1"/>
  <c r="D81" i="23" s="1"/>
  <c r="E81" i="23"/>
  <c r="N66" i="23"/>
  <c r="M66" i="23"/>
  <c r="P63" i="23"/>
  <c r="J61" i="23" s="1"/>
  <c r="N63" i="23"/>
  <c r="D61" i="23" s="1"/>
  <c r="D63" i="23" s="1"/>
  <c r="E63" i="23"/>
  <c r="N48" i="23"/>
  <c r="M48" i="23"/>
  <c r="D48" i="23"/>
  <c r="D66" i="23" s="1"/>
  <c r="D84" i="23" s="1"/>
  <c r="D102" i="23" s="1"/>
  <c r="D120" i="23" s="1"/>
  <c r="P45" i="23"/>
  <c r="J43" i="23" s="1"/>
  <c r="N45" i="23"/>
  <c r="D43" i="23" s="1"/>
  <c r="D45" i="23" s="1"/>
  <c r="B31" i="23"/>
  <c r="B32" i="23" s="1"/>
  <c r="A31" i="23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P30" i="23"/>
  <c r="P102" i="23" s="1"/>
  <c r="P120" i="23" s="1"/>
  <c r="J30" i="23"/>
  <c r="J48" i="23" s="1"/>
  <c r="J66" i="23" s="1"/>
  <c r="J84" i="23" s="1"/>
  <c r="J102" i="23" s="1"/>
  <c r="J120" i="23" s="1"/>
  <c r="F13" i="23"/>
  <c r="E13" i="23"/>
  <c r="BC33" i="24" l="1"/>
  <c r="BD33" i="24" s="1"/>
  <c r="BD34" i="24" s="1"/>
  <c r="BD35" i="24" s="1"/>
  <c r="BD36" i="24" s="1"/>
  <c r="BD37" i="24" s="1"/>
  <c r="BD38" i="24" s="1"/>
  <c r="BD39" i="24" s="1"/>
  <c r="BD40" i="24" s="1"/>
  <c r="BD41" i="24" s="1"/>
  <c r="BD42" i="24" s="1"/>
  <c r="K136" i="23"/>
  <c r="E170" i="25"/>
  <c r="AU17" i="25" s="1"/>
  <c r="E123" i="25"/>
  <c r="AS17" i="25" s="1"/>
  <c r="AS10" i="25"/>
  <c r="AT10" i="25"/>
  <c r="E146" i="25"/>
  <c r="AT17" i="25" s="1"/>
  <c r="D58" i="25"/>
  <c r="G146" i="25" s="1"/>
  <c r="AT24" i="25" s="1"/>
  <c r="G60" i="25"/>
  <c r="AP24" i="25" s="1"/>
  <c r="AP31" i="25" s="1"/>
  <c r="E80" i="25"/>
  <c r="AQ17" i="25" s="1"/>
  <c r="AP10" i="25"/>
  <c r="AP16" i="25" s="1"/>
  <c r="AU10" i="25"/>
  <c r="G58" i="25"/>
  <c r="G78" i="25" s="1"/>
  <c r="G99" i="25" s="1"/>
  <c r="G121" i="25" s="1"/>
  <c r="G144" i="25" s="1"/>
  <c r="G168" i="25" s="1"/>
  <c r="AR3" i="25"/>
  <c r="AT3" i="25"/>
  <c r="AS3" i="25"/>
  <c r="AU3" i="25"/>
  <c r="AQ3" i="25"/>
  <c r="AP3" i="25"/>
  <c r="AP9" i="25" s="1"/>
  <c r="AT14" i="25"/>
  <c r="AT16" i="25" s="1"/>
  <c r="AU14" i="25"/>
  <c r="AU4" i="25"/>
  <c r="AQ4" i="25"/>
  <c r="AQ9" i="25" s="1"/>
  <c r="AS4" i="25"/>
  <c r="AR4" i="25"/>
  <c r="AT4" i="25"/>
  <c r="AU12" i="25"/>
  <c r="AT12" i="25"/>
  <c r="AR12" i="25"/>
  <c r="AR16" i="25" s="1"/>
  <c r="E81" i="25"/>
  <c r="AQ18" i="25" s="1"/>
  <c r="AQ23" i="25" s="1"/>
  <c r="AU13" i="25"/>
  <c r="AT13" i="25"/>
  <c r="AS13" i="25"/>
  <c r="AS16" i="25" s="1"/>
  <c r="AR9" i="25"/>
  <c r="E102" i="25"/>
  <c r="AR18" i="25" s="1"/>
  <c r="E147" i="25"/>
  <c r="AT18" i="25" s="1"/>
  <c r="BF41" i="24"/>
  <c r="BE134" i="23"/>
  <c r="BR98" i="23"/>
  <c r="BN134" i="23"/>
  <c r="BQ98" i="23"/>
  <c r="BK116" i="23"/>
  <c r="BQ134" i="23"/>
  <c r="BE98" i="23"/>
  <c r="BH134" i="23"/>
  <c r="BN98" i="23"/>
  <c r="BE116" i="23"/>
  <c r="BR116" i="23"/>
  <c r="BR134" i="23"/>
  <c r="BB116" i="23"/>
  <c r="BK134" i="23"/>
  <c r="BH98" i="23"/>
  <c r="BK98" i="23"/>
  <c r="BN116" i="23"/>
  <c r="BQ116" i="23"/>
  <c r="BH116" i="23"/>
  <c r="BB134" i="23"/>
  <c r="BB98" i="23"/>
  <c r="E22" i="24"/>
  <c r="J22" i="24" s="1"/>
  <c r="BB44" i="24"/>
  <c r="BK134" i="24"/>
  <c r="AY134" i="24"/>
  <c r="BE134" i="24"/>
  <c r="AY116" i="24"/>
  <c r="BK116" i="24"/>
  <c r="BN98" i="24"/>
  <c r="BE116" i="24"/>
  <c r="BN116" i="24"/>
  <c r="BH134" i="24"/>
  <c r="BB134" i="24"/>
  <c r="BB116" i="24"/>
  <c r="BK98" i="24"/>
  <c r="BE98" i="24"/>
  <c r="AY98" i="24"/>
  <c r="BO116" i="24"/>
  <c r="BH98" i="24"/>
  <c r="F136" i="24"/>
  <c r="F117" i="24"/>
  <c r="F99" i="24"/>
  <c r="F63" i="24"/>
  <c r="F45" i="24"/>
  <c r="F81" i="24"/>
  <c r="BN134" i="24"/>
  <c r="BO134" i="24"/>
  <c r="BH116" i="24"/>
  <c r="BO98" i="24"/>
  <c r="BB98" i="24"/>
  <c r="K21" i="24"/>
  <c r="J21" i="24"/>
  <c r="AZ49" i="24"/>
  <c r="AX49" i="24"/>
  <c r="AY49" i="24"/>
  <c r="K20" i="24"/>
  <c r="J20" i="24"/>
  <c r="AY44" i="24"/>
  <c r="AV53" i="24"/>
  <c r="F53" i="24"/>
  <c r="G51" i="24"/>
  <c r="G52" i="24" s="1"/>
  <c r="G53" i="24" s="1"/>
  <c r="G54" i="24" s="1"/>
  <c r="G55" i="24" s="1"/>
  <c r="G56" i="24" s="1"/>
  <c r="G57" i="24" s="1"/>
  <c r="F50" i="24"/>
  <c r="AV50" i="24"/>
  <c r="AZ31" i="23"/>
  <c r="A64" i="25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84" i="25" s="1"/>
  <c r="G170" i="25"/>
  <c r="AU24" i="25" s="1"/>
  <c r="G101" i="25"/>
  <c r="AR24" i="25" s="1"/>
  <c r="G123" i="25"/>
  <c r="AS24" i="25" s="1"/>
  <c r="E124" i="25"/>
  <c r="AC60" i="25"/>
  <c r="AP32" i="25"/>
  <c r="AP38" i="25"/>
  <c r="B45" i="25"/>
  <c r="AB44" i="25"/>
  <c r="C44" i="25"/>
  <c r="J44" i="25" s="1"/>
  <c r="D136" i="23"/>
  <c r="D139" i="23" s="1"/>
  <c r="J115" i="23"/>
  <c r="J117" i="23" s="1"/>
  <c r="K117" i="23" s="1"/>
  <c r="G49" i="23"/>
  <c r="F16" i="23"/>
  <c r="J63" i="23"/>
  <c r="K63" i="23" s="1"/>
  <c r="P84" i="23"/>
  <c r="J45" i="23"/>
  <c r="K45" i="23" s="1"/>
  <c r="B33" i="23"/>
  <c r="CO32" i="23"/>
  <c r="C32" i="23"/>
  <c r="M32" i="23" s="1"/>
  <c r="D46" i="23"/>
  <c r="A49" i="23"/>
  <c r="C31" i="23"/>
  <c r="M31" i="23" s="1"/>
  <c r="CO31" i="23"/>
  <c r="P48" i="23"/>
  <c r="P66" i="23"/>
  <c r="BE33" i="24" l="1"/>
  <c r="BE44" i="24" s="1"/>
  <c r="BF33" i="24"/>
  <c r="AP30" i="25"/>
  <c r="D78" i="25"/>
  <c r="G124" i="25" s="1"/>
  <c r="AS25" i="25" s="1"/>
  <c r="G80" i="25"/>
  <c r="AQ24" i="25" s="1"/>
  <c r="E171" i="25"/>
  <c r="AU18" i="25" s="1"/>
  <c r="E103" i="25"/>
  <c r="AR19" i="25" s="1"/>
  <c r="AR23" i="25" s="1"/>
  <c r="K22" i="24"/>
  <c r="E148" i="25"/>
  <c r="BH41" i="24"/>
  <c r="BI41" i="24"/>
  <c r="BL41" i="24"/>
  <c r="AQ2" i="25"/>
  <c r="AC80" i="25" s="1"/>
  <c r="E23" i="24"/>
  <c r="K23" i="24" s="1"/>
  <c r="F49" i="23"/>
  <c r="AY49" i="23"/>
  <c r="BB49" i="24"/>
  <c r="BA49" i="24"/>
  <c r="AV51" i="24"/>
  <c r="F51" i="24"/>
  <c r="AV57" i="24"/>
  <c r="F57" i="24"/>
  <c r="G58" i="24"/>
  <c r="G59" i="24" s="1"/>
  <c r="BC49" i="24"/>
  <c r="AW50" i="24"/>
  <c r="AX50" i="24" s="1"/>
  <c r="BF49" i="24"/>
  <c r="BF31" i="23"/>
  <c r="BB31" i="23"/>
  <c r="BA31" i="23"/>
  <c r="AZ32" i="23" s="1"/>
  <c r="B46" i="25"/>
  <c r="AB45" i="25"/>
  <c r="C45" i="25"/>
  <c r="J45" i="25" s="1"/>
  <c r="AS18" i="25"/>
  <c r="E125" i="25"/>
  <c r="G81" i="25"/>
  <c r="AQ25" i="25" s="1"/>
  <c r="AQ30" i="25" s="1"/>
  <c r="G147" i="25"/>
  <c r="AT25" i="25" s="1"/>
  <c r="A85" i="25"/>
  <c r="A86" i="25" s="1"/>
  <c r="A87" i="25" s="1"/>
  <c r="A88" i="25" s="1"/>
  <c r="A89" i="25" s="1"/>
  <c r="A90" i="25" s="1"/>
  <c r="A91" i="25" s="1"/>
  <c r="A92" i="25" s="1"/>
  <c r="A93" i="25" s="1"/>
  <c r="A94" i="25" s="1"/>
  <c r="A95" i="25" s="1"/>
  <c r="A106" i="25" s="1"/>
  <c r="G50" i="23"/>
  <c r="J46" i="23"/>
  <c r="B34" i="23"/>
  <c r="CO33" i="23"/>
  <c r="C33" i="23"/>
  <c r="M33" i="23" s="1"/>
  <c r="A50" i="23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7" i="23" s="1"/>
  <c r="D64" i="23"/>
  <c r="BH33" i="24" l="1"/>
  <c r="BG33" i="24"/>
  <c r="BG34" i="24" s="1"/>
  <c r="BG35" i="24" s="1"/>
  <c r="BG36" i="24" s="1"/>
  <c r="BG37" i="24" s="1"/>
  <c r="BG38" i="24" s="1"/>
  <c r="BG39" i="24" s="1"/>
  <c r="BG40" i="24" s="1"/>
  <c r="BG41" i="24" s="1"/>
  <c r="BG42" i="24" s="1"/>
  <c r="BG49" i="24" s="1"/>
  <c r="BH44" i="24"/>
  <c r="BI33" i="24"/>
  <c r="BL33" i="24" s="1"/>
  <c r="G171" i="25"/>
  <c r="AU25" i="25" s="1"/>
  <c r="E172" i="25"/>
  <c r="AU19" i="25" s="1"/>
  <c r="D99" i="25"/>
  <c r="G103" i="25" s="1"/>
  <c r="AR26" i="25" s="1"/>
  <c r="AR30" i="25" s="1"/>
  <c r="G102" i="25"/>
  <c r="AR25" i="25" s="1"/>
  <c r="AT19" i="25"/>
  <c r="E149" i="25"/>
  <c r="AQ38" i="25"/>
  <c r="BK41" i="24"/>
  <c r="BN41" i="24"/>
  <c r="BO41" i="24"/>
  <c r="J23" i="24"/>
  <c r="AQ33" i="25"/>
  <c r="AQ31" i="25"/>
  <c r="AQ32" i="25"/>
  <c r="AQ39" i="25"/>
  <c r="E24" i="24"/>
  <c r="E25" i="24" s="1"/>
  <c r="K25" i="24" s="1"/>
  <c r="G51" i="23"/>
  <c r="G52" i="23" s="1"/>
  <c r="F50" i="23"/>
  <c r="AY50" i="23"/>
  <c r="BH49" i="24"/>
  <c r="AW51" i="24"/>
  <c r="AV59" i="24"/>
  <c r="G60" i="24"/>
  <c r="F59" i="24"/>
  <c r="AY50" i="24"/>
  <c r="AZ50" i="24"/>
  <c r="BB50" i="24" s="1"/>
  <c r="BD49" i="24"/>
  <c r="BE49" i="24"/>
  <c r="BI49" i="24"/>
  <c r="BC32" i="23"/>
  <c r="BI31" i="23"/>
  <c r="BK31" i="23" s="1"/>
  <c r="BG31" i="23"/>
  <c r="BE31" i="23"/>
  <c r="BD31" i="23"/>
  <c r="BH31" i="23"/>
  <c r="A107" i="25"/>
  <c r="A108" i="25" s="1"/>
  <c r="A109" i="25" s="1"/>
  <c r="A110" i="25" s="1"/>
  <c r="A111" i="25" s="1"/>
  <c r="A112" i="25" s="1"/>
  <c r="A113" i="25" s="1"/>
  <c r="A114" i="25" s="1"/>
  <c r="A115" i="25" s="1"/>
  <c r="A116" i="25" s="1"/>
  <c r="A117" i="25" s="1"/>
  <c r="A129" i="25" s="1"/>
  <c r="AR2" i="25"/>
  <c r="AS19" i="25"/>
  <c r="E126" i="25"/>
  <c r="AS20" i="25" s="1"/>
  <c r="AS23" i="25" s="1"/>
  <c r="B47" i="25"/>
  <c r="AB46" i="25"/>
  <c r="C46" i="25"/>
  <c r="J46" i="25" s="1"/>
  <c r="J64" i="23"/>
  <c r="J82" i="23" s="1"/>
  <c r="J100" i="23" s="1"/>
  <c r="J118" i="23" s="1"/>
  <c r="J137" i="23" s="1"/>
  <c r="D82" i="23"/>
  <c r="A68" i="23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85" i="23" s="1"/>
  <c r="B35" i="23"/>
  <c r="CO34" i="23"/>
  <c r="C34" i="23"/>
  <c r="M34" i="23" s="1"/>
  <c r="BO33" i="24" l="1"/>
  <c r="BN33" i="24"/>
  <c r="BM33" i="24"/>
  <c r="BM34" i="24" s="1"/>
  <c r="BM35" i="24" s="1"/>
  <c r="BM36" i="24" s="1"/>
  <c r="BM37" i="24" s="1"/>
  <c r="BM38" i="24" s="1"/>
  <c r="BM39" i="24" s="1"/>
  <c r="BM40" i="24" s="1"/>
  <c r="BM41" i="24" s="1"/>
  <c r="BM42" i="24" s="1"/>
  <c r="BN44" i="24"/>
  <c r="BO44" i="24"/>
  <c r="BK33" i="24"/>
  <c r="BK44" i="24" s="1"/>
  <c r="BJ33" i="24"/>
  <c r="BJ34" i="24" s="1"/>
  <c r="BJ35" i="24" s="1"/>
  <c r="BJ36" i="24" s="1"/>
  <c r="BJ37" i="24" s="1"/>
  <c r="BJ38" i="24" s="1"/>
  <c r="BJ39" i="24" s="1"/>
  <c r="BJ40" i="24" s="1"/>
  <c r="BJ41" i="24" s="1"/>
  <c r="BJ42" i="24" s="1"/>
  <c r="BJ49" i="24" s="1"/>
  <c r="D121" i="25"/>
  <c r="G125" i="25"/>
  <c r="AS26" i="25" s="1"/>
  <c r="G172" i="25"/>
  <c r="AU26" i="25" s="1"/>
  <c r="G148" i="25"/>
  <c r="AT26" i="25" s="1"/>
  <c r="E173" i="25"/>
  <c r="AU20" i="25" s="1"/>
  <c r="K24" i="24"/>
  <c r="E150" i="25"/>
  <c r="AT21" i="25" s="1"/>
  <c r="AT23" i="25" s="1"/>
  <c r="AT20" i="25"/>
  <c r="BA50" i="24"/>
  <c r="J25" i="24"/>
  <c r="J24" i="24"/>
  <c r="G53" i="23"/>
  <c r="F52" i="23"/>
  <c r="AY52" i="23"/>
  <c r="F51" i="23"/>
  <c r="AY51" i="23"/>
  <c r="BK49" i="24"/>
  <c r="G67" i="24"/>
  <c r="G68" i="24" s="1"/>
  <c r="G69" i="24" s="1"/>
  <c r="G70" i="24" s="1"/>
  <c r="G71" i="24" s="1"/>
  <c r="G72" i="24" s="1"/>
  <c r="G73" i="24" s="1"/>
  <c r="G74" i="24" s="1"/>
  <c r="G75" i="24" s="1"/>
  <c r="G76" i="24" s="1"/>
  <c r="F60" i="24"/>
  <c r="AV60" i="24"/>
  <c r="AZ51" i="24"/>
  <c r="BB51" i="24" s="1"/>
  <c r="AY51" i="24"/>
  <c r="BC50" i="24"/>
  <c r="BD50" i="24" s="1"/>
  <c r="BL49" i="24"/>
  <c r="AX51" i="24"/>
  <c r="BF32" i="23"/>
  <c r="BI32" i="23" s="1"/>
  <c r="BO31" i="23"/>
  <c r="BP31" i="23" s="1"/>
  <c r="BL31" i="23"/>
  <c r="BJ31" i="23"/>
  <c r="B48" i="25"/>
  <c r="AB47" i="25"/>
  <c r="C47" i="25"/>
  <c r="J47" i="25" s="1"/>
  <c r="G173" i="25"/>
  <c r="AU27" i="25" s="1"/>
  <c r="D144" i="25"/>
  <c r="G126" i="25"/>
  <c r="AS27" i="25" s="1"/>
  <c r="A130" i="25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53" i="25" s="1"/>
  <c r="AR40" i="25"/>
  <c r="AR39" i="25"/>
  <c r="AR34" i="25"/>
  <c r="AR33" i="25"/>
  <c r="AR32" i="25"/>
  <c r="AC102" i="25"/>
  <c r="AR38" i="25"/>
  <c r="AS2" i="25"/>
  <c r="AR31" i="25"/>
  <c r="A86" i="23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103" i="23" s="1"/>
  <c r="D100" i="23"/>
  <c r="B36" i="23"/>
  <c r="CO35" i="23"/>
  <c r="C35" i="23"/>
  <c r="M35" i="23" s="1"/>
  <c r="G149" i="25" l="1"/>
  <c r="AT27" i="25" s="1"/>
  <c r="E174" i="25"/>
  <c r="AU21" i="25" s="1"/>
  <c r="G77" i="24"/>
  <c r="G78" i="24" s="1"/>
  <c r="G85" i="24" s="1"/>
  <c r="G86" i="24" s="1"/>
  <c r="G87" i="24" s="1"/>
  <c r="G88" i="24" s="1"/>
  <c r="G89" i="24" s="1"/>
  <c r="G90" i="24" s="1"/>
  <c r="G91" i="24" s="1"/>
  <c r="G92" i="24" s="1"/>
  <c r="G93" i="24" s="1"/>
  <c r="G94" i="24" s="1"/>
  <c r="G95" i="24" s="1"/>
  <c r="G96" i="24" s="1"/>
  <c r="G103" i="24" s="1"/>
  <c r="G104" i="24" s="1"/>
  <c r="G105" i="24" s="1"/>
  <c r="G106" i="24" s="1"/>
  <c r="G107" i="24" s="1"/>
  <c r="G108" i="24" s="1"/>
  <c r="G109" i="24" s="1"/>
  <c r="G110" i="24" s="1"/>
  <c r="G111" i="24" s="1"/>
  <c r="G112" i="24" s="1"/>
  <c r="G113" i="24" s="1"/>
  <c r="G114" i="24" s="1"/>
  <c r="G121" i="24" s="1"/>
  <c r="G122" i="24" s="1"/>
  <c r="G123" i="24" s="1"/>
  <c r="G124" i="24" s="1"/>
  <c r="G125" i="24" s="1"/>
  <c r="G126" i="24" s="1"/>
  <c r="G127" i="24" s="1"/>
  <c r="G128" i="24" s="1"/>
  <c r="G129" i="24" s="1"/>
  <c r="G130" i="24" s="1"/>
  <c r="G131" i="24" s="1"/>
  <c r="G132" i="24" s="1"/>
  <c r="AV76" i="24"/>
  <c r="F76" i="24"/>
  <c r="BA51" i="24"/>
  <c r="BC51" i="24"/>
  <c r="BE51" i="24" s="1"/>
  <c r="AT2" i="25"/>
  <c r="AT41" i="25" s="1"/>
  <c r="G54" i="23"/>
  <c r="G55" i="23" s="1"/>
  <c r="F53" i="23"/>
  <c r="AY53" i="23"/>
  <c r="BF50" i="24"/>
  <c r="BH50" i="24" s="1"/>
  <c r="BN49" i="24"/>
  <c r="BM49" i="24"/>
  <c r="BO49" i="24"/>
  <c r="AW52" i="24"/>
  <c r="BE50" i="24"/>
  <c r="BI50" i="24"/>
  <c r="BK50" i="24" s="1"/>
  <c r="BL50" i="24"/>
  <c r="BR31" i="23"/>
  <c r="BL32" i="23"/>
  <c r="BO32" i="23" s="1"/>
  <c r="BQ31" i="23"/>
  <c r="BN31" i="23"/>
  <c r="BM31" i="23"/>
  <c r="G174" i="25"/>
  <c r="AU28" i="25" s="1"/>
  <c r="D168" i="25"/>
  <c r="G150" i="25"/>
  <c r="AT28" i="25" s="1"/>
  <c r="B49" i="25"/>
  <c r="AB48" i="25"/>
  <c r="C48" i="25"/>
  <c r="J48" i="25" s="1"/>
  <c r="AC123" i="25"/>
  <c r="AS38" i="25"/>
  <c r="AS35" i="25"/>
  <c r="AS41" i="25"/>
  <c r="AS40" i="25"/>
  <c r="AS39" i="25"/>
  <c r="AS34" i="25"/>
  <c r="AS33" i="25"/>
  <c r="AS32" i="25"/>
  <c r="A154" i="25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U2" i="25" s="1"/>
  <c r="AS30" i="25"/>
  <c r="AS31" i="25"/>
  <c r="B37" i="23"/>
  <c r="CO36" i="23"/>
  <c r="C36" i="23"/>
  <c r="M36" i="23" s="1"/>
  <c r="D118" i="23"/>
  <c r="A104" i="23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21" i="23" s="1"/>
  <c r="G56" i="23" l="1"/>
  <c r="G57" i="23" s="1"/>
  <c r="AY55" i="23"/>
  <c r="F55" i="23"/>
  <c r="E175" i="25"/>
  <c r="AU22" i="25" s="1"/>
  <c r="AU23" i="25" s="1"/>
  <c r="BG50" i="24"/>
  <c r="BF51" i="24" s="1"/>
  <c r="AT35" i="25"/>
  <c r="AT34" i="25"/>
  <c r="AC146" i="25"/>
  <c r="AT32" i="25"/>
  <c r="AT38" i="25"/>
  <c r="AT40" i="25"/>
  <c r="BD51" i="24"/>
  <c r="AT42" i="25"/>
  <c r="AT36" i="25"/>
  <c r="AT33" i="25"/>
  <c r="AT39" i="25"/>
  <c r="G58" i="23"/>
  <c r="G59" i="23" s="1"/>
  <c r="F57" i="23"/>
  <c r="AY57" i="23"/>
  <c r="BJ50" i="24"/>
  <c r="BO50" i="24"/>
  <c r="BN50" i="24"/>
  <c r="AY52" i="24"/>
  <c r="AZ52" i="24"/>
  <c r="AX52" i="24"/>
  <c r="BM50" i="24"/>
  <c r="AC170" i="25"/>
  <c r="AU43" i="25"/>
  <c r="AU42" i="25"/>
  <c r="AU38" i="25"/>
  <c r="AU37" i="25"/>
  <c r="AU36" i="25"/>
  <c r="AU35" i="25"/>
  <c r="AU41" i="25"/>
  <c r="AU40" i="25"/>
  <c r="AU39" i="25"/>
  <c r="AU34" i="25"/>
  <c r="AU33" i="25"/>
  <c r="AU32" i="25"/>
  <c r="D40" i="25"/>
  <c r="F26" i="25"/>
  <c r="E35" i="25"/>
  <c r="F25" i="25"/>
  <c r="F24" i="25"/>
  <c r="F19" i="25"/>
  <c r="G35" i="25"/>
  <c r="F27" i="25"/>
  <c r="F28" i="25"/>
  <c r="F23" i="25"/>
  <c r="AT30" i="25"/>
  <c r="AT31" i="25"/>
  <c r="B50" i="25"/>
  <c r="AB49" i="25"/>
  <c r="C49" i="25"/>
  <c r="J49" i="25" s="1"/>
  <c r="A122" i="23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B38" i="23"/>
  <c r="CO37" i="23"/>
  <c r="C37" i="23"/>
  <c r="M37" i="23" s="1"/>
  <c r="D137" i="23"/>
  <c r="G175" i="25" l="1"/>
  <c r="AU29" i="25" s="1"/>
  <c r="AU30" i="25" s="1"/>
  <c r="BI51" i="24"/>
  <c r="BK51" i="24" s="1"/>
  <c r="BG51" i="24"/>
  <c r="BH51" i="24"/>
  <c r="G60" i="23"/>
  <c r="F59" i="23"/>
  <c r="AY59" i="23"/>
  <c r="AW53" i="24"/>
  <c r="AX53" i="24" s="1"/>
  <c r="AX54" i="24" s="1"/>
  <c r="BB52" i="24"/>
  <c r="BA52" i="24"/>
  <c r="BL51" i="24"/>
  <c r="BC52" i="24"/>
  <c r="BR32" i="23"/>
  <c r="B51" i="25"/>
  <c r="AB50" i="25"/>
  <c r="C50" i="25"/>
  <c r="J50" i="25" s="1"/>
  <c r="G38" i="25"/>
  <c r="H38" i="25"/>
  <c r="G37" i="25"/>
  <c r="F40" i="25"/>
  <c r="H37" i="25" s="1"/>
  <c r="D35" i="25"/>
  <c r="F35" i="25" s="1"/>
  <c r="E38" i="25"/>
  <c r="F21" i="25"/>
  <c r="G21" i="25"/>
  <c r="B39" i="23"/>
  <c r="CO38" i="23"/>
  <c r="C38" i="23"/>
  <c r="M38" i="23" s="1"/>
  <c r="AU31" i="25" l="1"/>
  <c r="F29" i="25"/>
  <c r="F30" i="25" s="1"/>
  <c r="F32" i="25" s="1"/>
  <c r="F31" i="25" s="1"/>
  <c r="G32" i="25" s="1"/>
  <c r="BJ51" i="24"/>
  <c r="AW55" i="24"/>
  <c r="G67" i="23"/>
  <c r="G68" i="23" s="1"/>
  <c r="G69" i="23" s="1"/>
  <c r="F60" i="23"/>
  <c r="AY60" i="23"/>
  <c r="AW57" i="24"/>
  <c r="BE52" i="24"/>
  <c r="BD52" i="24"/>
  <c r="BF52" i="24"/>
  <c r="BN51" i="24"/>
  <c r="BO51" i="24"/>
  <c r="AZ53" i="24"/>
  <c r="BB53" i="24" s="1"/>
  <c r="AY53" i="24"/>
  <c r="BM51" i="24"/>
  <c r="B52" i="25"/>
  <c r="AB51" i="25"/>
  <c r="C51" i="25"/>
  <c r="J51" i="25" s="1"/>
  <c r="B40" i="23"/>
  <c r="CO39" i="23"/>
  <c r="C39" i="23"/>
  <c r="M39" i="23" s="1"/>
  <c r="G70" i="23" l="1"/>
  <c r="G71" i="23" s="1"/>
  <c r="G72" i="23" s="1"/>
  <c r="G73" i="23" s="1"/>
  <c r="AY69" i="23"/>
  <c r="F69" i="23"/>
  <c r="AY55" i="24"/>
  <c r="AX55" i="24"/>
  <c r="AX56" i="24" s="1"/>
  <c r="AX57" i="24" s="1"/>
  <c r="AX58" i="24" s="1"/>
  <c r="BA53" i="24"/>
  <c r="BA54" i="24" s="1"/>
  <c r="BC53" i="24"/>
  <c r="BE53" i="24" s="1"/>
  <c r="BH52" i="24"/>
  <c r="BG52" i="24"/>
  <c r="AW59" i="24"/>
  <c r="BI52" i="24"/>
  <c r="BL52" i="24" s="1"/>
  <c r="AZ57" i="24"/>
  <c r="BB57" i="24" s="1"/>
  <c r="AY57" i="24"/>
  <c r="B53" i="25"/>
  <c r="AB52" i="25"/>
  <c r="C52" i="25"/>
  <c r="J52" i="25" s="1"/>
  <c r="B41" i="23"/>
  <c r="CO40" i="23"/>
  <c r="C40" i="23"/>
  <c r="M40" i="23" s="1"/>
  <c r="G74" i="23" l="1"/>
  <c r="G75" i="23" s="1"/>
  <c r="G76" i="23" s="1"/>
  <c r="F73" i="23"/>
  <c r="AY73" i="23"/>
  <c r="AX59" i="24"/>
  <c r="AZ55" i="24"/>
  <c r="BD53" i="24"/>
  <c r="BD54" i="24" s="1"/>
  <c r="AW60" i="24"/>
  <c r="BO52" i="24"/>
  <c r="BN52" i="24"/>
  <c r="BK52" i="24"/>
  <c r="BJ52" i="24"/>
  <c r="BM52" i="24"/>
  <c r="AY59" i="24"/>
  <c r="BF53" i="24"/>
  <c r="B54" i="25"/>
  <c r="AB53" i="25"/>
  <c r="C53" i="25"/>
  <c r="J53" i="25" s="1"/>
  <c r="B42" i="23"/>
  <c r="CO41" i="23"/>
  <c r="C41" i="23"/>
  <c r="M41" i="23" s="1"/>
  <c r="AX60" i="24" l="1"/>
  <c r="AX67" i="24" s="1"/>
  <c r="AX68" i="24" s="1"/>
  <c r="G77" i="23"/>
  <c r="G78" i="23" s="1"/>
  <c r="G85" i="23" s="1"/>
  <c r="G86" i="23" s="1"/>
  <c r="G87" i="23" s="1"/>
  <c r="G88" i="23" s="1"/>
  <c r="G89" i="23" s="1"/>
  <c r="G90" i="23" s="1"/>
  <c r="G91" i="23" s="1"/>
  <c r="G92" i="23" s="1"/>
  <c r="G93" i="23" s="1"/>
  <c r="G94" i="23" s="1"/>
  <c r="G95" i="23" s="1"/>
  <c r="G96" i="23" s="1"/>
  <c r="G103" i="23" s="1"/>
  <c r="G104" i="23" s="1"/>
  <c r="G105" i="23" s="1"/>
  <c r="G106" i="23" s="1"/>
  <c r="G107" i="23" s="1"/>
  <c r="G108" i="23" s="1"/>
  <c r="G109" i="23" s="1"/>
  <c r="G110" i="23" s="1"/>
  <c r="G111" i="23" s="1"/>
  <c r="G112" i="23" s="1"/>
  <c r="G113" i="23" s="1"/>
  <c r="G114" i="23" s="1"/>
  <c r="G121" i="23" s="1"/>
  <c r="G122" i="23" s="1"/>
  <c r="G123" i="23" s="1"/>
  <c r="G124" i="23" s="1"/>
  <c r="G125" i="23" s="1"/>
  <c r="G126" i="23" s="1"/>
  <c r="G127" i="23" s="1"/>
  <c r="G128" i="23" s="1"/>
  <c r="G129" i="23" s="1"/>
  <c r="G130" i="23" s="1"/>
  <c r="G131" i="23" s="1"/>
  <c r="G132" i="23" s="1"/>
  <c r="AY76" i="23"/>
  <c r="F76" i="23"/>
  <c r="AW69" i="24"/>
  <c r="BB55" i="24"/>
  <c r="BC55" i="24"/>
  <c r="BE55" i="24" s="1"/>
  <c r="BA55" i="24"/>
  <c r="BA56" i="24" s="1"/>
  <c r="BA57" i="24" s="1"/>
  <c r="BA58" i="24" s="1"/>
  <c r="AZ59" i="24" s="1"/>
  <c r="BB59" i="24" s="1"/>
  <c r="BC59" i="24"/>
  <c r="BE59" i="24" s="1"/>
  <c r="BH53" i="24"/>
  <c r="BI53" i="24"/>
  <c r="BK53" i="24" s="1"/>
  <c r="BG53" i="24"/>
  <c r="BG54" i="24" s="1"/>
  <c r="AY60" i="24"/>
  <c r="AY62" i="24" s="1"/>
  <c r="B63" i="25"/>
  <c r="AB54" i="25"/>
  <c r="C54" i="25"/>
  <c r="J54" i="25" s="1"/>
  <c r="B49" i="23"/>
  <c r="CO42" i="23"/>
  <c r="C42" i="23"/>
  <c r="M42" i="23" s="1"/>
  <c r="H60" i="25" l="1"/>
  <c r="H80" i="25" s="1"/>
  <c r="H101" i="25" s="1"/>
  <c r="H123" i="25" s="1"/>
  <c r="H146" i="25" s="1"/>
  <c r="H170" i="25" s="1"/>
  <c r="BA59" i="24"/>
  <c r="AY69" i="24"/>
  <c r="AX69" i="24"/>
  <c r="AX70" i="24" s="1"/>
  <c r="AX71" i="24" s="1"/>
  <c r="AX72" i="24" s="1"/>
  <c r="BF55" i="24"/>
  <c r="BH55" i="24" s="1"/>
  <c r="BD55" i="24"/>
  <c r="BD56" i="24" s="1"/>
  <c r="BJ53" i="24"/>
  <c r="BJ54" i="24" s="1"/>
  <c r="BF57" i="24"/>
  <c r="AZ60" i="24"/>
  <c r="BL53" i="24"/>
  <c r="AZ29" i="23"/>
  <c r="AZ47" i="23" s="1"/>
  <c r="AZ65" i="23" s="1"/>
  <c r="AZ83" i="23" s="1"/>
  <c r="AZ101" i="23" s="1"/>
  <c r="AZ119" i="23" s="1"/>
  <c r="C60" i="25"/>
  <c r="C80" i="25" s="1"/>
  <c r="C101" i="25" s="1"/>
  <c r="C123" i="25" s="1"/>
  <c r="C146" i="25" s="1"/>
  <c r="C170" i="25" s="1"/>
  <c r="C42" i="25"/>
  <c r="D23" i="25" s="1"/>
  <c r="G23" i="25" s="1"/>
  <c r="B64" i="25"/>
  <c r="AB63" i="25"/>
  <c r="C63" i="25"/>
  <c r="C20" i="23"/>
  <c r="C30" i="23"/>
  <c r="B50" i="23"/>
  <c r="CO49" i="23"/>
  <c r="C49" i="23"/>
  <c r="BA60" i="24" l="1"/>
  <c r="BA67" i="24" s="1"/>
  <c r="BA68" i="24" s="1"/>
  <c r="AZ69" i="24" s="1"/>
  <c r="BB69" i="24" s="1"/>
  <c r="AW73" i="24"/>
  <c r="AX73" i="24" s="1"/>
  <c r="AX74" i="24" s="1"/>
  <c r="AX75" i="24" s="1"/>
  <c r="BG55" i="24"/>
  <c r="BG56" i="24" s="1"/>
  <c r="BG57" i="24" s="1"/>
  <c r="BG58" i="24" s="1"/>
  <c r="BI55" i="24"/>
  <c r="BC57" i="24"/>
  <c r="BE57" i="24" s="1"/>
  <c r="BN53" i="24"/>
  <c r="BO53" i="24"/>
  <c r="BM53" i="24"/>
  <c r="BM54" i="24" s="1"/>
  <c r="BF59" i="24"/>
  <c r="BB60" i="24"/>
  <c r="BB62" i="24" s="1"/>
  <c r="BC60" i="24"/>
  <c r="BF60" i="24"/>
  <c r="BH60" i="24" s="1"/>
  <c r="BH57" i="24"/>
  <c r="BI57" i="24"/>
  <c r="J63" i="25"/>
  <c r="AC56" i="25"/>
  <c r="AB64" i="25"/>
  <c r="C64" i="25"/>
  <c r="J64" i="25" s="1"/>
  <c r="B65" i="25"/>
  <c r="M49" i="23"/>
  <c r="CP44" i="23"/>
  <c r="CO50" i="23"/>
  <c r="C50" i="23"/>
  <c r="M50" i="23" s="1"/>
  <c r="B51" i="23"/>
  <c r="BA69" i="24" l="1"/>
  <c r="BA70" i="24" s="1"/>
  <c r="BA71" i="24" s="1"/>
  <c r="BA72" i="24" s="1"/>
  <c r="AW76" i="24"/>
  <c r="BG59" i="24"/>
  <c r="AZ73" i="24"/>
  <c r="BB73" i="24" s="1"/>
  <c r="AY73" i="24"/>
  <c r="BK55" i="24"/>
  <c r="BL55" i="24"/>
  <c r="BJ55" i="24"/>
  <c r="BJ56" i="24" s="1"/>
  <c r="BJ57" i="24" s="1"/>
  <c r="BJ58" i="24" s="1"/>
  <c r="BD57" i="24"/>
  <c r="BD58" i="24" s="1"/>
  <c r="BD59" i="24" s="1"/>
  <c r="BD60" i="24" s="1"/>
  <c r="BD67" i="24" s="1"/>
  <c r="BD68" i="24" s="1"/>
  <c r="BK57" i="24"/>
  <c r="BE60" i="24"/>
  <c r="BE62" i="24" s="1"/>
  <c r="BG60" i="24"/>
  <c r="BG67" i="24" s="1"/>
  <c r="BG68" i="24" s="1"/>
  <c r="BL57" i="24"/>
  <c r="BH59" i="24"/>
  <c r="BH62" i="24" s="1"/>
  <c r="BI59" i="24"/>
  <c r="BK59" i="24" s="1"/>
  <c r="BL59" i="24"/>
  <c r="B66" i="25"/>
  <c r="AB65" i="25"/>
  <c r="C65" i="25"/>
  <c r="J65" i="25" s="1"/>
  <c r="B52" i="23"/>
  <c r="CO51" i="23"/>
  <c r="C51" i="23"/>
  <c r="M51" i="23" s="1"/>
  <c r="BC69" i="24" l="1"/>
  <c r="BA73" i="24"/>
  <c r="BA74" i="24" s="1"/>
  <c r="BA75" i="24" s="1"/>
  <c r="AZ76" i="24" s="1"/>
  <c r="BB76" i="24" s="1"/>
  <c r="BB80" i="24" s="1"/>
  <c r="F21" i="24" s="1"/>
  <c r="G21" i="24" s="1"/>
  <c r="AY76" i="24"/>
  <c r="AY80" i="24" s="1"/>
  <c r="F20" i="24" s="1"/>
  <c r="G20" i="24" s="1"/>
  <c r="AX76" i="24"/>
  <c r="AX77" i="24" s="1"/>
  <c r="AX78" i="24" s="1"/>
  <c r="AX85" i="24" s="1"/>
  <c r="AX86" i="24" s="1"/>
  <c r="AX87" i="24" s="1"/>
  <c r="AX88" i="24" s="1"/>
  <c r="AX89" i="24" s="1"/>
  <c r="AX90" i="24" s="1"/>
  <c r="AX91" i="24" s="1"/>
  <c r="AX92" i="24" s="1"/>
  <c r="AX93" i="24" s="1"/>
  <c r="AX94" i="24" s="1"/>
  <c r="AX95" i="24" s="1"/>
  <c r="AX96" i="24" s="1"/>
  <c r="AX103" i="24" s="1"/>
  <c r="AX104" i="24" s="1"/>
  <c r="AX105" i="24" s="1"/>
  <c r="AX106" i="24" s="1"/>
  <c r="AX107" i="24" s="1"/>
  <c r="AX108" i="24" s="1"/>
  <c r="AX109" i="24" s="1"/>
  <c r="AX110" i="24" s="1"/>
  <c r="AX111" i="24" s="1"/>
  <c r="AX112" i="24" s="1"/>
  <c r="AX113" i="24" s="1"/>
  <c r="AX114" i="24" s="1"/>
  <c r="AX121" i="24" s="1"/>
  <c r="AX122" i="24" s="1"/>
  <c r="AX123" i="24" s="1"/>
  <c r="AX124" i="24" s="1"/>
  <c r="AX125" i="24" s="1"/>
  <c r="AX126" i="24" s="1"/>
  <c r="AX127" i="24" s="1"/>
  <c r="AX128" i="24" s="1"/>
  <c r="AX129" i="24" s="1"/>
  <c r="AX130" i="24" s="1"/>
  <c r="AX131" i="24" s="1"/>
  <c r="AX132" i="24" s="1"/>
  <c r="BN55" i="24"/>
  <c r="BO55" i="24"/>
  <c r="BM55" i="24"/>
  <c r="BM56" i="24" s="1"/>
  <c r="BM57" i="24" s="1"/>
  <c r="BM58" i="24" s="1"/>
  <c r="BM59" i="24" s="1"/>
  <c r="BN59" i="24"/>
  <c r="BO59" i="24"/>
  <c r="BN57" i="24"/>
  <c r="BO57" i="24"/>
  <c r="BJ59" i="24"/>
  <c r="B67" i="25"/>
  <c r="C66" i="25"/>
  <c r="J66" i="25" s="1"/>
  <c r="AB66" i="25"/>
  <c r="B53" i="23"/>
  <c r="C52" i="23"/>
  <c r="M52" i="23" s="1"/>
  <c r="CO52" i="23"/>
  <c r="BA76" i="24" l="1"/>
  <c r="BA77" i="24" s="1"/>
  <c r="BA78" i="24" s="1"/>
  <c r="BA85" i="24" s="1"/>
  <c r="BA86" i="24" s="1"/>
  <c r="BA87" i="24" s="1"/>
  <c r="BA88" i="24" s="1"/>
  <c r="BA89" i="24" s="1"/>
  <c r="BA90" i="24" s="1"/>
  <c r="BA91" i="24" s="1"/>
  <c r="BA92" i="24" s="1"/>
  <c r="BA93" i="24" s="1"/>
  <c r="BA94" i="24" s="1"/>
  <c r="BA95" i="24" s="1"/>
  <c r="BA96" i="24" s="1"/>
  <c r="BA103" i="24" s="1"/>
  <c r="BA104" i="24" s="1"/>
  <c r="BA105" i="24" s="1"/>
  <c r="BA106" i="24" s="1"/>
  <c r="BA107" i="24" s="1"/>
  <c r="BA108" i="24" s="1"/>
  <c r="BA109" i="24" s="1"/>
  <c r="BA110" i="24" s="1"/>
  <c r="BA111" i="24" s="1"/>
  <c r="BA112" i="24" s="1"/>
  <c r="BA113" i="24" s="1"/>
  <c r="BA114" i="24" s="1"/>
  <c r="BA121" i="24" s="1"/>
  <c r="BA122" i="24" s="1"/>
  <c r="BA123" i="24" s="1"/>
  <c r="BA124" i="24" s="1"/>
  <c r="BA125" i="24" s="1"/>
  <c r="BA126" i="24" s="1"/>
  <c r="BA127" i="24" s="1"/>
  <c r="BA128" i="24" s="1"/>
  <c r="BA129" i="24" s="1"/>
  <c r="BA130" i="24" s="1"/>
  <c r="BA131" i="24" s="1"/>
  <c r="BA132" i="24" s="1"/>
  <c r="BE69" i="24"/>
  <c r="BF69" i="24"/>
  <c r="BD69" i="24"/>
  <c r="BD70" i="24" s="1"/>
  <c r="BD71" i="24" s="1"/>
  <c r="BD72" i="24" s="1"/>
  <c r="BI60" i="24"/>
  <c r="B68" i="25"/>
  <c r="AB67" i="25"/>
  <c r="C67" i="25"/>
  <c r="J67" i="25" s="1"/>
  <c r="B54" i="23"/>
  <c r="CO53" i="23"/>
  <c r="C53" i="23"/>
  <c r="M53" i="23" s="1"/>
  <c r="BC73" i="24" l="1"/>
  <c r="BD73" i="24" s="1"/>
  <c r="BD74" i="24" s="1"/>
  <c r="BD75" i="24" s="1"/>
  <c r="BH69" i="24"/>
  <c r="BG69" i="24"/>
  <c r="BG70" i="24" s="1"/>
  <c r="BG71" i="24" s="1"/>
  <c r="BG72" i="24" s="1"/>
  <c r="BK60" i="24"/>
  <c r="BK62" i="24" s="1"/>
  <c r="BL60" i="24"/>
  <c r="BJ60" i="24"/>
  <c r="BJ67" i="24" s="1"/>
  <c r="BJ68" i="24" s="1"/>
  <c r="AB68" i="25"/>
  <c r="B69" i="25"/>
  <c r="C68" i="25"/>
  <c r="J68" i="25" s="1"/>
  <c r="CO54" i="23"/>
  <c r="B55" i="23"/>
  <c r="C54" i="23"/>
  <c r="M54" i="23" s="1"/>
  <c r="BC76" i="24" l="1"/>
  <c r="BE73" i="24"/>
  <c r="BF73" i="24"/>
  <c r="BH73" i="24" s="1"/>
  <c r="BI69" i="24"/>
  <c r="BJ69" i="24" s="1"/>
  <c r="BJ70" i="24" s="1"/>
  <c r="BJ71" i="24" s="1"/>
  <c r="BJ72" i="24" s="1"/>
  <c r="BO60" i="24"/>
  <c r="BO62" i="24" s="1"/>
  <c r="BN60" i="24"/>
  <c r="BN62" i="24" s="1"/>
  <c r="BM60" i="24"/>
  <c r="BM67" i="24" s="1"/>
  <c r="BM68" i="24" s="1"/>
  <c r="B70" i="25"/>
  <c r="AB69" i="25"/>
  <c r="C69" i="25"/>
  <c r="J69" i="25" s="1"/>
  <c r="B56" i="23"/>
  <c r="CO55" i="23"/>
  <c r="C55" i="23"/>
  <c r="M55" i="23" s="1"/>
  <c r="BK69" i="24" l="1"/>
  <c r="BL69" i="24"/>
  <c r="BE76" i="24"/>
  <c r="BE80" i="24" s="1"/>
  <c r="F22" i="24" s="1"/>
  <c r="G22" i="24" s="1"/>
  <c r="BI73" i="24"/>
  <c r="BG73" i="24"/>
  <c r="BG74" i="24" s="1"/>
  <c r="BG75" i="24" s="1"/>
  <c r="BD76" i="24"/>
  <c r="BD77" i="24" s="1"/>
  <c r="BD78" i="24" s="1"/>
  <c r="BD85" i="24" s="1"/>
  <c r="BD86" i="24" s="1"/>
  <c r="BD87" i="24" s="1"/>
  <c r="BD88" i="24" s="1"/>
  <c r="BD89" i="24" s="1"/>
  <c r="BD90" i="24" s="1"/>
  <c r="BD91" i="24" s="1"/>
  <c r="BD92" i="24" s="1"/>
  <c r="BD93" i="24" s="1"/>
  <c r="BD94" i="24" s="1"/>
  <c r="BD95" i="24" s="1"/>
  <c r="BD96" i="24" s="1"/>
  <c r="BD103" i="24" s="1"/>
  <c r="BD104" i="24" s="1"/>
  <c r="BD105" i="24" s="1"/>
  <c r="BD106" i="24" s="1"/>
  <c r="BD107" i="24" s="1"/>
  <c r="BD108" i="24" s="1"/>
  <c r="BD109" i="24" s="1"/>
  <c r="BD110" i="24" s="1"/>
  <c r="BD111" i="24" s="1"/>
  <c r="BD112" i="24" s="1"/>
  <c r="BD113" i="24" s="1"/>
  <c r="BD114" i="24" s="1"/>
  <c r="BD121" i="24" s="1"/>
  <c r="BD122" i="24" s="1"/>
  <c r="BD123" i="24" s="1"/>
  <c r="BD124" i="24" s="1"/>
  <c r="BD125" i="24" s="1"/>
  <c r="BD126" i="24" s="1"/>
  <c r="BD127" i="24" s="1"/>
  <c r="BD128" i="24" s="1"/>
  <c r="BD129" i="24" s="1"/>
  <c r="BD130" i="24" s="1"/>
  <c r="BD131" i="24" s="1"/>
  <c r="BD132" i="24" s="1"/>
  <c r="B71" i="25"/>
  <c r="C70" i="25"/>
  <c r="J70" i="25" s="1"/>
  <c r="AB70" i="25"/>
  <c r="B57" i="23"/>
  <c r="C56" i="23"/>
  <c r="M56" i="23" s="1"/>
  <c r="CO56" i="23"/>
  <c r="BK73" i="24" l="1"/>
  <c r="BO69" i="24"/>
  <c r="BN69" i="24"/>
  <c r="BJ73" i="24"/>
  <c r="BJ74" i="24" s="1"/>
  <c r="BJ75" i="24" s="1"/>
  <c r="BM69" i="24"/>
  <c r="BM70" i="24" s="1"/>
  <c r="BM71" i="24" s="1"/>
  <c r="BM72" i="24" s="1"/>
  <c r="BF76" i="24"/>
  <c r="BG76" i="24" s="1"/>
  <c r="BG77" i="24" s="1"/>
  <c r="BG78" i="24" s="1"/>
  <c r="BG85" i="24" s="1"/>
  <c r="BG86" i="24" s="1"/>
  <c r="BG87" i="24" s="1"/>
  <c r="BG88" i="24" s="1"/>
  <c r="BG89" i="24" s="1"/>
  <c r="BG90" i="24" s="1"/>
  <c r="BG91" i="24" s="1"/>
  <c r="BG92" i="24" s="1"/>
  <c r="BG93" i="24" s="1"/>
  <c r="BG94" i="24" s="1"/>
  <c r="BG95" i="24" s="1"/>
  <c r="BG96" i="24" s="1"/>
  <c r="BG103" i="24" s="1"/>
  <c r="BG104" i="24" s="1"/>
  <c r="BG105" i="24" s="1"/>
  <c r="BG106" i="24" s="1"/>
  <c r="BG107" i="24" s="1"/>
  <c r="BG108" i="24" s="1"/>
  <c r="BG109" i="24" s="1"/>
  <c r="BG110" i="24" s="1"/>
  <c r="BG111" i="24" s="1"/>
  <c r="BG112" i="24" s="1"/>
  <c r="BG113" i="24" s="1"/>
  <c r="BG114" i="24" s="1"/>
  <c r="BG121" i="24" s="1"/>
  <c r="BG122" i="24" s="1"/>
  <c r="BG123" i="24" s="1"/>
  <c r="BG124" i="24" s="1"/>
  <c r="BG125" i="24" s="1"/>
  <c r="BG126" i="24" s="1"/>
  <c r="BG127" i="24" s="1"/>
  <c r="BG128" i="24" s="1"/>
  <c r="BG129" i="24" s="1"/>
  <c r="BG130" i="24" s="1"/>
  <c r="BG131" i="24" s="1"/>
  <c r="BG132" i="24" s="1"/>
  <c r="B72" i="25"/>
  <c r="AB71" i="25"/>
  <c r="C71" i="25"/>
  <c r="J71" i="25" s="1"/>
  <c r="B58" i="23"/>
  <c r="CO57" i="23"/>
  <c r="C57" i="23"/>
  <c r="M57" i="23" s="1"/>
  <c r="BL73" i="24" l="1"/>
  <c r="BM73" i="24" s="1"/>
  <c r="BM74" i="24" s="1"/>
  <c r="BM75" i="24" s="1"/>
  <c r="BH76" i="24"/>
  <c r="BH80" i="24" s="1"/>
  <c r="F23" i="24" s="1"/>
  <c r="G23" i="24" s="1"/>
  <c r="BI76" i="24"/>
  <c r="BK76" i="24" s="1"/>
  <c r="BK80" i="24" s="1"/>
  <c r="F24" i="24" s="1"/>
  <c r="G24" i="24" s="1"/>
  <c r="AB72" i="25"/>
  <c r="B73" i="25"/>
  <c r="C72" i="25"/>
  <c r="J72" i="25" s="1"/>
  <c r="CO58" i="23"/>
  <c r="B59" i="23"/>
  <c r="C58" i="23"/>
  <c r="M58" i="23" s="1"/>
  <c r="BL76" i="24" l="1"/>
  <c r="BJ76" i="24"/>
  <c r="BJ77" i="24" s="1"/>
  <c r="BJ78" i="24" s="1"/>
  <c r="BJ85" i="24" s="1"/>
  <c r="BJ86" i="24" s="1"/>
  <c r="BJ87" i="24" s="1"/>
  <c r="BJ88" i="24" s="1"/>
  <c r="BJ89" i="24" s="1"/>
  <c r="BJ90" i="24" s="1"/>
  <c r="BJ91" i="24" s="1"/>
  <c r="BJ92" i="24" s="1"/>
  <c r="BJ93" i="24" s="1"/>
  <c r="BJ94" i="24" s="1"/>
  <c r="BJ95" i="24" s="1"/>
  <c r="BJ96" i="24" s="1"/>
  <c r="BJ103" i="24" s="1"/>
  <c r="BJ104" i="24" s="1"/>
  <c r="BJ105" i="24" s="1"/>
  <c r="BJ106" i="24" s="1"/>
  <c r="BJ107" i="24" s="1"/>
  <c r="BJ108" i="24" s="1"/>
  <c r="BJ109" i="24" s="1"/>
  <c r="BJ110" i="24" s="1"/>
  <c r="BJ111" i="24" s="1"/>
  <c r="BJ112" i="24" s="1"/>
  <c r="BJ113" i="24" s="1"/>
  <c r="BJ114" i="24" s="1"/>
  <c r="BJ121" i="24" s="1"/>
  <c r="BJ122" i="24" s="1"/>
  <c r="BJ123" i="24" s="1"/>
  <c r="BJ124" i="24" s="1"/>
  <c r="BJ125" i="24" s="1"/>
  <c r="BJ126" i="24" s="1"/>
  <c r="BJ127" i="24" s="1"/>
  <c r="BJ128" i="24" s="1"/>
  <c r="BJ129" i="24" s="1"/>
  <c r="BJ130" i="24" s="1"/>
  <c r="BJ131" i="24" s="1"/>
  <c r="BJ132" i="24" s="1"/>
  <c r="BN73" i="24"/>
  <c r="BO73" i="24"/>
  <c r="B74" i="25"/>
  <c r="AB73" i="25"/>
  <c r="C73" i="25"/>
  <c r="J73" i="25" s="1"/>
  <c r="B60" i="23"/>
  <c r="CO59" i="23"/>
  <c r="C59" i="23"/>
  <c r="M59" i="23" s="1"/>
  <c r="BO76" i="24" l="1"/>
  <c r="BO80" i="24" s="1"/>
  <c r="BN76" i="24"/>
  <c r="BN80" i="24" s="1"/>
  <c r="F25" i="24" s="1"/>
  <c r="G25" i="24" s="1"/>
  <c r="G26" i="24" s="1"/>
  <c r="H28" i="24" s="1"/>
  <c r="BM76" i="24"/>
  <c r="BM77" i="24" s="1"/>
  <c r="BM78" i="24" s="1"/>
  <c r="BM85" i="24" s="1"/>
  <c r="BM86" i="24" s="1"/>
  <c r="BM87" i="24" s="1"/>
  <c r="BM88" i="24" s="1"/>
  <c r="BM89" i="24" s="1"/>
  <c r="BM90" i="24" s="1"/>
  <c r="BM91" i="24" s="1"/>
  <c r="BM92" i="24" s="1"/>
  <c r="BM93" i="24" s="1"/>
  <c r="BM94" i="24" s="1"/>
  <c r="BM95" i="24" s="1"/>
  <c r="BM96" i="24" s="1"/>
  <c r="BM103" i="24" s="1"/>
  <c r="BM104" i="24" s="1"/>
  <c r="BM105" i="24" s="1"/>
  <c r="BM106" i="24" s="1"/>
  <c r="BM107" i="24" s="1"/>
  <c r="BM108" i="24" s="1"/>
  <c r="BM109" i="24" s="1"/>
  <c r="BM110" i="24" s="1"/>
  <c r="BM111" i="24" s="1"/>
  <c r="BM112" i="24" s="1"/>
  <c r="BM113" i="24" s="1"/>
  <c r="BM114" i="24" s="1"/>
  <c r="BM121" i="24" s="1"/>
  <c r="BM122" i="24" s="1"/>
  <c r="BM123" i="24" s="1"/>
  <c r="BM124" i="24" s="1"/>
  <c r="BM125" i="24" s="1"/>
  <c r="BM126" i="24" s="1"/>
  <c r="BM127" i="24" s="1"/>
  <c r="BM128" i="24" s="1"/>
  <c r="BM129" i="24" s="1"/>
  <c r="BM130" i="24" s="1"/>
  <c r="BM131" i="24" s="1"/>
  <c r="BM132" i="24" s="1"/>
  <c r="C74" i="25"/>
  <c r="J74" i="25" s="1"/>
  <c r="B84" i="25"/>
  <c r="AB74" i="25"/>
  <c r="C60" i="23"/>
  <c r="M60" i="23" s="1"/>
  <c r="B67" i="23"/>
  <c r="CO60" i="23"/>
  <c r="H81" i="25" l="1"/>
  <c r="H102" i="25" s="1"/>
  <c r="H124" i="25" s="1"/>
  <c r="H147" i="25" s="1"/>
  <c r="H171" i="25" s="1"/>
  <c r="C62" i="25"/>
  <c r="D24" i="25" s="1"/>
  <c r="G24" i="25" s="1"/>
  <c r="C81" i="25"/>
  <c r="C102" i="25" s="1"/>
  <c r="C124" i="25" s="1"/>
  <c r="C147" i="25" s="1"/>
  <c r="C171" i="25" s="1"/>
  <c r="BC29" i="23"/>
  <c r="BC47" i="23" s="1"/>
  <c r="BC65" i="23" s="1"/>
  <c r="BC83" i="23" s="1"/>
  <c r="BC101" i="23" s="1"/>
  <c r="BC119" i="23" s="1"/>
  <c r="B85" i="25"/>
  <c r="AB84" i="25"/>
  <c r="C84" i="25"/>
  <c r="C21" i="23"/>
  <c r="C48" i="23"/>
  <c r="B68" i="23"/>
  <c r="CO67" i="23"/>
  <c r="C67" i="23"/>
  <c r="AC76" i="25" l="1"/>
  <c r="J84" i="25"/>
  <c r="B86" i="25"/>
  <c r="C85" i="25"/>
  <c r="J85" i="25" s="1"/>
  <c r="AB85" i="25"/>
  <c r="CP62" i="23"/>
  <c r="M67" i="23"/>
  <c r="B69" i="23"/>
  <c r="C68" i="23"/>
  <c r="M68" i="23" s="1"/>
  <c r="CO68" i="23"/>
  <c r="B87" i="25" l="1"/>
  <c r="AB86" i="25"/>
  <c r="C86" i="25"/>
  <c r="J86" i="25" s="1"/>
  <c r="B70" i="23"/>
  <c r="CO69" i="23"/>
  <c r="C69" i="23"/>
  <c r="M69" i="23" s="1"/>
  <c r="AB87" i="25" l="1"/>
  <c r="B88" i="25"/>
  <c r="C87" i="25"/>
  <c r="J87" i="25" s="1"/>
  <c r="CO70" i="23"/>
  <c r="B71" i="23"/>
  <c r="C70" i="23"/>
  <c r="M70" i="23" s="1"/>
  <c r="B89" i="25" l="1"/>
  <c r="AB88" i="25"/>
  <c r="C88" i="25"/>
  <c r="J88" i="25" s="1"/>
  <c r="B72" i="23"/>
  <c r="CO71" i="23"/>
  <c r="C71" i="23"/>
  <c r="M71" i="23" s="1"/>
  <c r="B90" i="25" l="1"/>
  <c r="C89" i="25"/>
  <c r="J89" i="25" s="1"/>
  <c r="AB89" i="25"/>
  <c r="B73" i="23"/>
  <c r="C72" i="23"/>
  <c r="M72" i="23" s="1"/>
  <c r="CO72" i="23"/>
  <c r="B91" i="25" l="1"/>
  <c r="AB90" i="25"/>
  <c r="C90" i="25"/>
  <c r="J90" i="25" s="1"/>
  <c r="B74" i="23"/>
  <c r="CO73" i="23"/>
  <c r="C73" i="23"/>
  <c r="M73" i="23" s="1"/>
  <c r="AB91" i="25" l="1"/>
  <c r="B92" i="25"/>
  <c r="C91" i="25"/>
  <c r="J91" i="25" s="1"/>
  <c r="CO74" i="23"/>
  <c r="B75" i="23"/>
  <c r="C74" i="23"/>
  <c r="M74" i="23" s="1"/>
  <c r="B93" i="25" l="1"/>
  <c r="AB92" i="25"/>
  <c r="C92" i="25"/>
  <c r="J92" i="25" s="1"/>
  <c r="B76" i="23"/>
  <c r="CO75" i="23"/>
  <c r="C75" i="23"/>
  <c r="M75" i="23" s="1"/>
  <c r="B94" i="25" l="1"/>
  <c r="C93" i="25"/>
  <c r="J93" i="25" s="1"/>
  <c r="AB93" i="25"/>
  <c r="B77" i="23"/>
  <c r="C76" i="23"/>
  <c r="M76" i="23" s="1"/>
  <c r="CO76" i="23"/>
  <c r="B95" i="25" l="1"/>
  <c r="AB94" i="25"/>
  <c r="C94" i="25"/>
  <c r="J94" i="25" s="1"/>
  <c r="B78" i="23"/>
  <c r="CO77" i="23"/>
  <c r="C77" i="23"/>
  <c r="M77" i="23" s="1"/>
  <c r="B106" i="25" l="1"/>
  <c r="AB95" i="25"/>
  <c r="C95" i="25"/>
  <c r="J95" i="25" s="1"/>
  <c r="B85" i="23"/>
  <c r="CO78" i="23"/>
  <c r="C78" i="23"/>
  <c r="M78" i="23" s="1"/>
  <c r="C103" i="25" l="1"/>
  <c r="C125" i="25" s="1"/>
  <c r="C148" i="25" s="1"/>
  <c r="C172" i="25" s="1"/>
  <c r="H103" i="25"/>
  <c r="H125" i="25" s="1"/>
  <c r="H148" i="25" s="1"/>
  <c r="H172" i="25" s="1"/>
  <c r="C83" i="25"/>
  <c r="D25" i="25" s="1"/>
  <c r="G25" i="25" s="1"/>
  <c r="BF29" i="23"/>
  <c r="BF47" i="23" s="1"/>
  <c r="BF65" i="23" s="1"/>
  <c r="BF83" i="23" s="1"/>
  <c r="BF101" i="23" s="1"/>
  <c r="BF119" i="23" s="1"/>
  <c r="B107" i="25"/>
  <c r="AB106" i="25"/>
  <c r="C106" i="25"/>
  <c r="C22" i="23"/>
  <c r="C66" i="23"/>
  <c r="B86" i="23"/>
  <c r="CO85" i="23"/>
  <c r="C85" i="23"/>
  <c r="AC97" i="25" l="1"/>
  <c r="J106" i="25"/>
  <c r="AB107" i="25"/>
  <c r="B108" i="25"/>
  <c r="C107" i="25"/>
  <c r="J107" i="25" s="1"/>
  <c r="CP80" i="23"/>
  <c r="M85" i="23"/>
  <c r="CO86" i="23"/>
  <c r="B87" i="23"/>
  <c r="C86" i="23"/>
  <c r="M86" i="23" s="1"/>
  <c r="B109" i="25" l="1"/>
  <c r="AB108" i="25"/>
  <c r="C108" i="25"/>
  <c r="J108" i="25" s="1"/>
  <c r="B88" i="23"/>
  <c r="CO87" i="23"/>
  <c r="C87" i="23"/>
  <c r="M87" i="23" s="1"/>
  <c r="B110" i="25" l="1"/>
  <c r="C109" i="25"/>
  <c r="J109" i="25" s="1"/>
  <c r="AB109" i="25"/>
  <c r="B89" i="23"/>
  <c r="C88" i="23"/>
  <c r="M88" i="23" s="1"/>
  <c r="CO88" i="23"/>
  <c r="B111" i="25" l="1"/>
  <c r="AB110" i="25"/>
  <c r="C110" i="25"/>
  <c r="J110" i="25" s="1"/>
  <c r="B90" i="23"/>
  <c r="CO89" i="23"/>
  <c r="C89" i="23"/>
  <c r="M89" i="23" s="1"/>
  <c r="AB111" i="25" l="1"/>
  <c r="B112" i="25"/>
  <c r="C111" i="25"/>
  <c r="J111" i="25" s="1"/>
  <c r="CO90" i="23"/>
  <c r="B91" i="23"/>
  <c r="C90" i="23"/>
  <c r="M90" i="23" s="1"/>
  <c r="B113" i="25" l="1"/>
  <c r="AB112" i="25"/>
  <c r="C112" i="25"/>
  <c r="J112" i="25" s="1"/>
  <c r="B92" i="23"/>
  <c r="CO91" i="23"/>
  <c r="C91" i="23"/>
  <c r="M91" i="23" s="1"/>
  <c r="B114" i="25" l="1"/>
  <c r="C113" i="25"/>
  <c r="J113" i="25" s="1"/>
  <c r="AB113" i="25"/>
  <c r="B93" i="23"/>
  <c r="C92" i="23"/>
  <c r="M92" i="23" s="1"/>
  <c r="CO92" i="23"/>
  <c r="B115" i="25" l="1"/>
  <c r="AB114" i="25"/>
  <c r="C114" i="25"/>
  <c r="J114" i="25" s="1"/>
  <c r="B94" i="23"/>
  <c r="CO93" i="23"/>
  <c r="C93" i="23"/>
  <c r="M93" i="23" s="1"/>
  <c r="AB115" i="25" l="1"/>
  <c r="B116" i="25"/>
  <c r="C115" i="25"/>
  <c r="J115" i="25" s="1"/>
  <c r="CO94" i="23"/>
  <c r="B95" i="23"/>
  <c r="C94" i="23"/>
  <c r="M94" i="23" s="1"/>
  <c r="B117" i="25" l="1"/>
  <c r="AB116" i="25"/>
  <c r="C116" i="25"/>
  <c r="J116" i="25" s="1"/>
  <c r="B96" i="23"/>
  <c r="CO95" i="23"/>
  <c r="C95" i="23"/>
  <c r="M95" i="23" s="1"/>
  <c r="C117" i="25" l="1"/>
  <c r="J117" i="25" s="1"/>
  <c r="B129" i="25"/>
  <c r="AB117" i="25"/>
  <c r="C105" i="25"/>
  <c r="D26" i="25" s="1"/>
  <c r="G26" i="25" s="1"/>
  <c r="C96" i="23"/>
  <c r="M96" i="23" s="1"/>
  <c r="B103" i="23"/>
  <c r="CO96" i="23"/>
  <c r="H126" i="25" l="1"/>
  <c r="H149" i="25" s="1"/>
  <c r="H173" i="25" s="1"/>
  <c r="C126" i="25"/>
  <c r="C149" i="25" s="1"/>
  <c r="C173" i="25" s="1"/>
  <c r="BI29" i="23"/>
  <c r="BI47" i="23" s="1"/>
  <c r="BI65" i="23" s="1"/>
  <c r="BI83" i="23" s="1"/>
  <c r="BI101" i="23" s="1"/>
  <c r="BI119" i="23" s="1"/>
  <c r="B130" i="25"/>
  <c r="AB129" i="25"/>
  <c r="C129" i="25"/>
  <c r="C23" i="23"/>
  <c r="C84" i="23"/>
  <c r="B104" i="23"/>
  <c r="CO103" i="23"/>
  <c r="C103" i="23"/>
  <c r="AC119" i="25" l="1"/>
  <c r="J129" i="25"/>
  <c r="B131" i="25"/>
  <c r="C130" i="25"/>
  <c r="J130" i="25" s="1"/>
  <c r="AB130" i="25"/>
  <c r="CP98" i="23"/>
  <c r="M103" i="23"/>
  <c r="B105" i="23"/>
  <c r="C104" i="23"/>
  <c r="M104" i="23" s="1"/>
  <c r="CO104" i="23"/>
  <c r="B132" i="25" l="1"/>
  <c r="AB131" i="25"/>
  <c r="C131" i="25"/>
  <c r="J131" i="25" s="1"/>
  <c r="B106" i="23"/>
  <c r="CO105" i="23"/>
  <c r="C105" i="23"/>
  <c r="M105" i="23" s="1"/>
  <c r="B133" i="25" l="1"/>
  <c r="AB132" i="25"/>
  <c r="C132" i="25"/>
  <c r="J132" i="25" s="1"/>
  <c r="B107" i="23"/>
  <c r="CO106" i="23"/>
  <c r="C106" i="23"/>
  <c r="M106" i="23" s="1"/>
  <c r="B134" i="25" l="1"/>
  <c r="C133" i="25"/>
  <c r="J133" i="25" s="1"/>
  <c r="AB133" i="25"/>
  <c r="B108" i="23"/>
  <c r="C107" i="23"/>
  <c r="M107" i="23" s="1"/>
  <c r="CO107" i="23"/>
  <c r="B135" i="25" l="1"/>
  <c r="AB134" i="25"/>
  <c r="C134" i="25"/>
  <c r="J134" i="25" s="1"/>
  <c r="B109" i="23"/>
  <c r="CO108" i="23"/>
  <c r="C108" i="23"/>
  <c r="M108" i="23" s="1"/>
  <c r="AB135" i="25" l="1"/>
  <c r="B136" i="25"/>
  <c r="C135" i="25"/>
  <c r="J135" i="25" s="1"/>
  <c r="CO109" i="23"/>
  <c r="B110" i="23"/>
  <c r="C109" i="23"/>
  <c r="M109" i="23" s="1"/>
  <c r="B137" i="25" l="1"/>
  <c r="AB136" i="25"/>
  <c r="C136" i="25"/>
  <c r="J136" i="25" s="1"/>
  <c r="B111" i="23"/>
  <c r="CO110" i="23"/>
  <c r="C110" i="23"/>
  <c r="M110" i="23" s="1"/>
  <c r="B138" i="25" l="1"/>
  <c r="C137" i="25"/>
  <c r="J137" i="25" s="1"/>
  <c r="AB137" i="25"/>
  <c r="B112" i="23"/>
  <c r="C111" i="23"/>
  <c r="M111" i="23" s="1"/>
  <c r="CO111" i="23"/>
  <c r="B139" i="25" l="1"/>
  <c r="AB138" i="25"/>
  <c r="C138" i="25"/>
  <c r="J138" i="25" s="1"/>
  <c r="B113" i="23"/>
  <c r="CO112" i="23"/>
  <c r="C112" i="23"/>
  <c r="M112" i="23" s="1"/>
  <c r="AB139" i="25" l="1"/>
  <c r="C139" i="25"/>
  <c r="J139" i="25" s="1"/>
  <c r="B140" i="25"/>
  <c r="CO113" i="23"/>
  <c r="C113" i="23"/>
  <c r="M113" i="23" s="1"/>
  <c r="B114" i="23"/>
  <c r="B153" i="25" l="1"/>
  <c r="AB140" i="25"/>
  <c r="C140" i="25"/>
  <c r="J140" i="25" s="1"/>
  <c r="B121" i="23"/>
  <c r="CO114" i="23"/>
  <c r="C114" i="23"/>
  <c r="M114" i="23" s="1"/>
  <c r="H150" i="25" l="1"/>
  <c r="H174" i="25" s="1"/>
  <c r="C128" i="25"/>
  <c r="D27" i="25" s="1"/>
  <c r="G27" i="25" s="1"/>
  <c r="C150" i="25"/>
  <c r="C174" i="25" s="1"/>
  <c r="BL29" i="23"/>
  <c r="BL47" i="23" s="1"/>
  <c r="BL65" i="23" s="1"/>
  <c r="BL83" i="23" s="1"/>
  <c r="BL101" i="23" s="1"/>
  <c r="BL119" i="23" s="1"/>
  <c r="B154" i="25"/>
  <c r="C153" i="25"/>
  <c r="AB153" i="25"/>
  <c r="C24" i="23"/>
  <c r="C102" i="23"/>
  <c r="B122" i="23"/>
  <c r="C121" i="23"/>
  <c r="CO121" i="23"/>
  <c r="B155" i="25" l="1"/>
  <c r="AB154" i="25"/>
  <c r="C154" i="25"/>
  <c r="J154" i="25" s="1"/>
  <c r="J153" i="25"/>
  <c r="AC142" i="25"/>
  <c r="B123" i="23"/>
  <c r="CO122" i="23"/>
  <c r="C122" i="23"/>
  <c r="M122" i="23" s="1"/>
  <c r="M121" i="23"/>
  <c r="CP116" i="23"/>
  <c r="AB155" i="25" l="1"/>
  <c r="C155" i="25"/>
  <c r="J155" i="25" s="1"/>
  <c r="B156" i="25"/>
  <c r="CO123" i="23"/>
  <c r="C123" i="23"/>
  <c r="M123" i="23" s="1"/>
  <c r="B124" i="23"/>
  <c r="B157" i="25" l="1"/>
  <c r="AB156" i="25"/>
  <c r="C156" i="25"/>
  <c r="J156" i="25" s="1"/>
  <c r="B125" i="23"/>
  <c r="CO124" i="23"/>
  <c r="C124" i="23"/>
  <c r="M124" i="23" s="1"/>
  <c r="B158" i="25" l="1"/>
  <c r="C157" i="25"/>
  <c r="J157" i="25" s="1"/>
  <c r="AB157" i="25"/>
  <c r="B126" i="23"/>
  <c r="C125" i="23"/>
  <c r="M125" i="23" s="1"/>
  <c r="CO125" i="23"/>
  <c r="B159" i="25" l="1"/>
  <c r="AB158" i="25"/>
  <c r="C158" i="25"/>
  <c r="J158" i="25" s="1"/>
  <c r="B127" i="23"/>
  <c r="CO126" i="23"/>
  <c r="C126" i="23"/>
  <c r="M126" i="23" s="1"/>
  <c r="AB159" i="25" l="1"/>
  <c r="B160" i="25"/>
  <c r="C159" i="25"/>
  <c r="J159" i="25" s="1"/>
  <c r="CO127" i="23"/>
  <c r="B128" i="23"/>
  <c r="C127" i="23"/>
  <c r="M127" i="23" s="1"/>
  <c r="B161" i="25" l="1"/>
  <c r="AB160" i="25"/>
  <c r="C160" i="25"/>
  <c r="J160" i="25" s="1"/>
  <c r="B129" i="23"/>
  <c r="CO128" i="23"/>
  <c r="C128" i="23"/>
  <c r="M128" i="23" s="1"/>
  <c r="B162" i="25" l="1"/>
  <c r="C161" i="25"/>
  <c r="J161" i="25" s="1"/>
  <c r="AB161" i="25"/>
  <c r="B130" i="23"/>
  <c r="C129" i="23"/>
  <c r="M129" i="23" s="1"/>
  <c r="CO129" i="23"/>
  <c r="B163" i="25" l="1"/>
  <c r="AB162" i="25"/>
  <c r="C162" i="25"/>
  <c r="J162" i="25" s="1"/>
  <c r="B131" i="23"/>
  <c r="CO130" i="23"/>
  <c r="C130" i="23"/>
  <c r="M130" i="23" s="1"/>
  <c r="AB163" i="25" l="1"/>
  <c r="C163" i="25"/>
  <c r="J163" i="25" s="1"/>
  <c r="B164" i="25"/>
  <c r="CO131" i="23"/>
  <c r="C131" i="23"/>
  <c r="M131" i="23" s="1"/>
  <c r="B132" i="23"/>
  <c r="AB164" i="25" l="1"/>
  <c r="C164" i="25"/>
  <c r="J164" i="25" s="1"/>
  <c r="CO132" i="23"/>
  <c r="C132" i="23"/>
  <c r="M132" i="23" s="1"/>
  <c r="C175" i="25" l="1"/>
  <c r="C120" i="23"/>
  <c r="BO29" i="23"/>
  <c r="BO47" i="23" s="1"/>
  <c r="BO65" i="23" s="1"/>
  <c r="BO83" i="23" s="1"/>
  <c r="BO101" i="23" s="1"/>
  <c r="BO119" i="23" s="1"/>
  <c r="C152" i="25"/>
  <c r="D28" i="25" s="1"/>
  <c r="G28" i="25" s="1"/>
  <c r="H175" i="25"/>
  <c r="C25" i="23"/>
  <c r="BE32" i="23" l="1"/>
  <c r="BB32" i="23"/>
  <c r="BA32" i="23"/>
  <c r="AZ33" i="23" l="1"/>
  <c r="BD32" i="23"/>
  <c r="BC33" i="23" l="1"/>
  <c r="BF33" i="23" s="1"/>
  <c r="BB33" i="23"/>
  <c r="BA33" i="23"/>
  <c r="BH32" i="23"/>
  <c r="BG32" i="23"/>
  <c r="AZ34" i="23" l="1"/>
  <c r="BA34" i="23" s="1"/>
  <c r="AZ35" i="23" s="1"/>
  <c r="BB35" i="23" s="1"/>
  <c r="BD33" i="23"/>
  <c r="BE33" i="23"/>
  <c r="BN32" i="23"/>
  <c r="BM32" i="23"/>
  <c r="BJ32" i="23"/>
  <c r="BI33" i="23" s="1"/>
  <c r="BK32" i="23"/>
  <c r="BC34" i="23" l="1"/>
  <c r="BE34" i="23" s="1"/>
  <c r="BL33" i="23"/>
  <c r="BB34" i="23"/>
  <c r="BH33" i="23"/>
  <c r="BK33" i="23"/>
  <c r="BG33" i="23"/>
  <c r="BF34" i="23" s="1"/>
  <c r="BA35" i="23"/>
  <c r="AZ36" i="23" s="1"/>
  <c r="BQ32" i="23"/>
  <c r="BP32" i="23"/>
  <c r="BO33" i="23" s="1"/>
  <c r="BR33" i="23" l="1"/>
  <c r="BH34" i="23"/>
  <c r="BN33" i="23"/>
  <c r="BD34" i="23"/>
  <c r="BC35" i="23" s="1"/>
  <c r="BM33" i="23"/>
  <c r="BJ33" i="23"/>
  <c r="BI34" i="23" s="1"/>
  <c r="BB36" i="23"/>
  <c r="BL34" i="23" l="1"/>
  <c r="BQ33" i="23"/>
  <c r="BG34" i="23"/>
  <c r="BF35" i="23" s="1"/>
  <c r="BP33" i="23"/>
  <c r="BJ34" i="23"/>
  <c r="BI35" i="23" s="1"/>
  <c r="BA36" i="23"/>
  <c r="AZ37" i="23" s="1"/>
  <c r="BO34" i="23" l="1"/>
  <c r="BE35" i="23"/>
  <c r="BH35" i="23"/>
  <c r="BD35" i="23"/>
  <c r="BC36" i="23" s="1"/>
  <c r="BR34" i="23"/>
  <c r="BK34" i="23"/>
  <c r="BB37" i="23"/>
  <c r="BG35" i="23" l="1"/>
  <c r="BF36" i="23" s="1"/>
  <c r="BQ34" i="23"/>
  <c r="BP34" i="23"/>
  <c r="BN34" i="23"/>
  <c r="BM34" i="23"/>
  <c r="BL35" i="23" s="1"/>
  <c r="BA37" i="23"/>
  <c r="AZ38" i="23" s="1"/>
  <c r="BO35" i="23" l="1"/>
  <c r="BE36" i="23"/>
  <c r="BK35" i="23"/>
  <c r="BN35" i="23"/>
  <c r="BJ35" i="23"/>
  <c r="BI36" i="23" s="1"/>
  <c r="BD36" i="23"/>
  <c r="BB38" i="23"/>
  <c r="BR35" i="23" l="1"/>
  <c r="BC37" i="23"/>
  <c r="BH36" i="23"/>
  <c r="BG36" i="23"/>
  <c r="BF37" i="23" s="1"/>
  <c r="BQ35" i="23"/>
  <c r="BM35" i="23"/>
  <c r="BL36" i="23" s="1"/>
  <c r="BA38" i="23"/>
  <c r="AZ39" i="23" s="1"/>
  <c r="BP35" i="23" l="1"/>
  <c r="BO36" i="23" s="1"/>
  <c r="BE37" i="23"/>
  <c r="BK36" i="23"/>
  <c r="BN36" i="23"/>
  <c r="BJ36" i="23"/>
  <c r="BI37" i="23" s="1"/>
  <c r="BD37" i="23"/>
  <c r="BC38" i="23" s="1"/>
  <c r="BB39" i="23"/>
  <c r="BH37" i="23" l="1"/>
  <c r="BJ37" i="23"/>
  <c r="BG37" i="23"/>
  <c r="BF38" i="23" s="1"/>
  <c r="BM36" i="23"/>
  <c r="BL37" i="23" s="1"/>
  <c r="BA39" i="23"/>
  <c r="AZ40" i="23" s="1"/>
  <c r="BI38" i="23" l="1"/>
  <c r="BQ36" i="23"/>
  <c r="BR36" i="23"/>
  <c r="BP36" i="23"/>
  <c r="BO37" i="23" s="1"/>
  <c r="BH38" i="23"/>
  <c r="BE38" i="23"/>
  <c r="BD38" i="23"/>
  <c r="BC39" i="23" s="1"/>
  <c r="BK37" i="23"/>
  <c r="BB40" i="23"/>
  <c r="BG38" i="23" l="1"/>
  <c r="BF39" i="23" s="1"/>
  <c r="BK38" i="23"/>
  <c r="BD39" i="23"/>
  <c r="BC40" i="23" s="1"/>
  <c r="BN37" i="23"/>
  <c r="BM37" i="23"/>
  <c r="BL38" i="23" s="1"/>
  <c r="BA40" i="23"/>
  <c r="AZ41" i="23" s="1"/>
  <c r="BJ38" i="23" l="1"/>
  <c r="BI39" i="23" s="1"/>
  <c r="BK39" i="23" s="1"/>
  <c r="BR37" i="23"/>
  <c r="BQ37" i="23"/>
  <c r="BD40" i="23"/>
  <c r="BC41" i="23" s="1"/>
  <c r="BE40" i="23"/>
  <c r="BM38" i="23"/>
  <c r="BP37" i="23"/>
  <c r="BO38" i="23" s="1"/>
  <c r="BE39" i="23"/>
  <c r="BB41" i="23"/>
  <c r="BL39" i="23" l="1"/>
  <c r="BH39" i="23"/>
  <c r="BG39" i="23"/>
  <c r="BF40" i="23" s="1"/>
  <c r="BJ39" i="23"/>
  <c r="BN38" i="23"/>
  <c r="BD41" i="23"/>
  <c r="BE41" i="23"/>
  <c r="BA41" i="23"/>
  <c r="AZ42" i="23" s="1"/>
  <c r="BI40" i="23" l="1"/>
  <c r="BC42" i="23"/>
  <c r="BD42" i="23" s="1"/>
  <c r="BM39" i="23"/>
  <c r="BL40" i="23" s="1"/>
  <c r="BN39" i="23"/>
  <c r="BP38" i="23"/>
  <c r="BO39" i="23" s="1"/>
  <c r="BQ38" i="23"/>
  <c r="BR38" i="23"/>
  <c r="BG40" i="23"/>
  <c r="BF41" i="23" s="1"/>
  <c r="BB42" i="23"/>
  <c r="BB44" i="23" s="1"/>
  <c r="BQ39" i="23" l="1"/>
  <c r="BR39" i="23"/>
  <c r="BG41" i="23"/>
  <c r="BF42" i="23" s="1"/>
  <c r="BP39" i="23"/>
  <c r="BO40" i="23" s="1"/>
  <c r="BH40" i="23"/>
  <c r="BN40" i="23"/>
  <c r="BE42" i="23"/>
  <c r="BE44" i="23" s="1"/>
  <c r="BA42" i="23"/>
  <c r="AZ49" i="23" s="1"/>
  <c r="BC49" i="23" l="1"/>
  <c r="BA49" i="23"/>
  <c r="BB49" i="23"/>
  <c r="BP40" i="23"/>
  <c r="BK40" i="23"/>
  <c r="BJ40" i="23"/>
  <c r="BI41" i="23" s="1"/>
  <c r="BM40" i="23"/>
  <c r="BH41" i="23"/>
  <c r="AZ50" i="23" l="1"/>
  <c r="BA50" i="23" s="1"/>
  <c r="BD49" i="23"/>
  <c r="BE49" i="23"/>
  <c r="BL41" i="23"/>
  <c r="BO41" i="23" s="1"/>
  <c r="BQ40" i="23"/>
  <c r="BR40" i="23"/>
  <c r="BK41" i="23"/>
  <c r="BH42" i="23"/>
  <c r="BH44" i="23" s="1"/>
  <c r="BG42" i="23"/>
  <c r="BF49" i="23" s="1"/>
  <c r="BJ41" i="23"/>
  <c r="BI42" i="23" s="1"/>
  <c r="BG49" i="23" l="1"/>
  <c r="BH49" i="23"/>
  <c r="AZ51" i="23"/>
  <c r="BB50" i="23"/>
  <c r="BC50" i="23"/>
  <c r="BE50" i="23" s="1"/>
  <c r="BN41" i="23"/>
  <c r="BM41" i="23"/>
  <c r="BL42" i="23" s="1"/>
  <c r="BJ42" i="23"/>
  <c r="BI49" i="23" s="1"/>
  <c r="BJ49" i="23" l="1"/>
  <c r="BK49" i="23"/>
  <c r="BD50" i="23"/>
  <c r="BC51" i="23" s="1"/>
  <c r="BE51" i="23" s="1"/>
  <c r="BB51" i="23"/>
  <c r="BF50" i="23"/>
  <c r="BA51" i="23"/>
  <c r="BK42" i="23"/>
  <c r="BK44" i="23" s="1"/>
  <c r="BQ41" i="23"/>
  <c r="BR41" i="23"/>
  <c r="BP41" i="23"/>
  <c r="BO42" i="23" s="1"/>
  <c r="AZ52" i="23" l="1"/>
  <c r="BA52" i="23" s="1"/>
  <c r="BD51" i="23"/>
  <c r="BG50" i="23"/>
  <c r="BF51" i="23" s="1"/>
  <c r="BH50" i="23"/>
  <c r="BI50" i="23"/>
  <c r="BJ50" i="23" s="1"/>
  <c r="BR42" i="23"/>
  <c r="BR44" i="23" s="1"/>
  <c r="BQ42" i="23"/>
  <c r="BQ44" i="23" s="1"/>
  <c r="BN42" i="23"/>
  <c r="BN44" i="23" s="1"/>
  <c r="BM42" i="23"/>
  <c r="BL49" i="23" s="1"/>
  <c r="BP42" i="23"/>
  <c r="BO49" i="23" l="1"/>
  <c r="BM49" i="23"/>
  <c r="BN49" i="23"/>
  <c r="BH51" i="23"/>
  <c r="BI51" i="23"/>
  <c r="BK51" i="23" s="1"/>
  <c r="AZ53" i="23"/>
  <c r="BK50" i="23"/>
  <c r="BL50" i="23"/>
  <c r="BG51" i="23"/>
  <c r="BB52" i="23"/>
  <c r="BC52" i="23"/>
  <c r="BE52" i="23" s="1"/>
  <c r="BJ51" i="23" l="1"/>
  <c r="BD52" i="23"/>
  <c r="BC53" i="23" s="1"/>
  <c r="BE53" i="23" s="1"/>
  <c r="BN50" i="23"/>
  <c r="BB53" i="23"/>
  <c r="BM50" i="23"/>
  <c r="BF52" i="23"/>
  <c r="BA53" i="23"/>
  <c r="BP49" i="23"/>
  <c r="BR49" i="23"/>
  <c r="BQ49" i="23"/>
  <c r="AZ54" i="23" l="1"/>
  <c r="BH52" i="23"/>
  <c r="BI52" i="23"/>
  <c r="BL51" i="23"/>
  <c r="BM51" i="23" s="1"/>
  <c r="BG52" i="23"/>
  <c r="BO50" i="23"/>
  <c r="BD53" i="23"/>
  <c r="BL52" i="23" l="1"/>
  <c r="BN52" i="23" s="1"/>
  <c r="BB54" i="23"/>
  <c r="BC54" i="23"/>
  <c r="BR50" i="23"/>
  <c r="BQ50" i="23"/>
  <c r="BF53" i="23"/>
  <c r="BG53" i="23" s="1"/>
  <c r="BN51" i="23"/>
  <c r="BK52" i="23"/>
  <c r="BJ52" i="23"/>
  <c r="BA54" i="23"/>
  <c r="BP50" i="23"/>
  <c r="BO51" i="23" s="1"/>
  <c r="AZ55" i="23" l="1"/>
  <c r="BB55" i="23" s="1"/>
  <c r="BM52" i="23"/>
  <c r="BP51" i="23"/>
  <c r="BR51" i="23"/>
  <c r="BQ51" i="23"/>
  <c r="AZ57" i="23"/>
  <c r="BF54" i="23"/>
  <c r="BG54" i="23" s="1"/>
  <c r="BH53" i="23"/>
  <c r="BI53" i="23"/>
  <c r="BK53" i="23" s="1"/>
  <c r="BD54" i="23"/>
  <c r="BE54" i="23"/>
  <c r="BA55" i="23" l="1"/>
  <c r="BA56" i="23" s="1"/>
  <c r="BA57" i="23" s="1"/>
  <c r="BA58" i="23" s="1"/>
  <c r="BC55" i="23"/>
  <c r="BD55" i="23" s="1"/>
  <c r="BD56" i="23" s="1"/>
  <c r="BL53" i="23"/>
  <c r="BN53" i="23" s="1"/>
  <c r="BJ53" i="23"/>
  <c r="BI54" i="23" s="1"/>
  <c r="BK54" i="23" s="1"/>
  <c r="AZ59" i="23"/>
  <c r="BH54" i="23"/>
  <c r="BC57" i="23"/>
  <c r="BE57" i="23" s="1"/>
  <c r="BB57" i="23"/>
  <c r="BO52" i="23"/>
  <c r="BP52" i="23" s="1"/>
  <c r="BA59" i="23" l="1"/>
  <c r="BE55" i="23"/>
  <c r="BF55" i="23"/>
  <c r="BM53" i="23"/>
  <c r="BL54" i="23"/>
  <c r="BN54" i="23" s="1"/>
  <c r="BD57" i="23"/>
  <c r="BD58" i="23" s="1"/>
  <c r="AZ60" i="23"/>
  <c r="BR52" i="23"/>
  <c r="BQ52" i="23"/>
  <c r="BF57" i="23"/>
  <c r="BO53" i="23"/>
  <c r="BB59" i="23"/>
  <c r="BJ54" i="23"/>
  <c r="BA60" i="23" l="1"/>
  <c r="BA67" i="23" s="1"/>
  <c r="BA68" i="23" s="1"/>
  <c r="AZ69" i="23" s="1"/>
  <c r="BB69" i="23" s="1"/>
  <c r="BH55" i="23"/>
  <c r="BG55" i="23"/>
  <c r="BG56" i="23" s="1"/>
  <c r="BG57" i="23" s="1"/>
  <c r="BG58" i="23" s="1"/>
  <c r="BI55" i="23"/>
  <c r="BM54" i="23"/>
  <c r="BQ53" i="23"/>
  <c r="BR53" i="23"/>
  <c r="BI57" i="23"/>
  <c r="BK57" i="23" s="1"/>
  <c r="BC59" i="23"/>
  <c r="BH57" i="23"/>
  <c r="BL57" i="23"/>
  <c r="BN57" i="23" s="1"/>
  <c r="BB60" i="23"/>
  <c r="BB62" i="23" s="1"/>
  <c r="BP53" i="23"/>
  <c r="BA69" i="23" l="1"/>
  <c r="BA70" i="23" s="1"/>
  <c r="BA71" i="23" s="1"/>
  <c r="BA72" i="23" s="1"/>
  <c r="BK55" i="23"/>
  <c r="BL55" i="23"/>
  <c r="BJ55" i="23"/>
  <c r="BJ56" i="23" s="1"/>
  <c r="BJ57" i="23" s="1"/>
  <c r="BJ58" i="23" s="1"/>
  <c r="BO54" i="23"/>
  <c r="BE59" i="23"/>
  <c r="BF59" i="23"/>
  <c r="BD59" i="23"/>
  <c r="BC60" i="23" s="1"/>
  <c r="AZ73" i="23" l="1"/>
  <c r="BB73" i="23" s="1"/>
  <c r="BN55" i="23"/>
  <c r="BM55" i="23"/>
  <c r="BM56" i="23" s="1"/>
  <c r="BM57" i="23" s="1"/>
  <c r="BM58" i="23" s="1"/>
  <c r="BD60" i="23"/>
  <c r="BD67" i="23" s="1"/>
  <c r="BD68" i="23" s="1"/>
  <c r="BE60" i="23"/>
  <c r="BE62" i="23" s="1"/>
  <c r="BG59" i="23"/>
  <c r="BF60" i="23" s="1"/>
  <c r="BH60" i="23" s="1"/>
  <c r="BH59" i="23"/>
  <c r="BI59" i="23"/>
  <c r="BK59" i="23" s="1"/>
  <c r="BR54" i="23"/>
  <c r="BQ54" i="23"/>
  <c r="BP54" i="23"/>
  <c r="BO55" i="23" s="1"/>
  <c r="BA73" i="23" l="1"/>
  <c r="BA74" i="23" s="1"/>
  <c r="BA75" i="23" s="1"/>
  <c r="AZ76" i="23" s="1"/>
  <c r="BB76" i="23" s="1"/>
  <c r="BB80" i="23" s="1"/>
  <c r="F20" i="23" s="1"/>
  <c r="BC69" i="23"/>
  <c r="BD69" i="23" s="1"/>
  <c r="BD70" i="23" s="1"/>
  <c r="BD71" i="23" s="1"/>
  <c r="BD72" i="23" s="1"/>
  <c r="BQ55" i="23"/>
  <c r="BR55" i="23"/>
  <c r="BP55" i="23"/>
  <c r="BP56" i="23" s="1"/>
  <c r="BL59" i="23"/>
  <c r="BN59" i="23" s="1"/>
  <c r="BJ59" i="23"/>
  <c r="BO57" i="23"/>
  <c r="BH62" i="23"/>
  <c r="BM59" i="23"/>
  <c r="BG60" i="23"/>
  <c r="BG67" i="23" s="1"/>
  <c r="BG68" i="23" s="1"/>
  <c r="BI60" i="23"/>
  <c r="BK60" i="23" s="1"/>
  <c r="BK62" i="23" s="1"/>
  <c r="BA76" i="23" l="1"/>
  <c r="BA77" i="23" s="1"/>
  <c r="BA78" i="23" s="1"/>
  <c r="BA85" i="23" s="1"/>
  <c r="BA86" i="23" s="1"/>
  <c r="BA87" i="23" s="1"/>
  <c r="BA88" i="23" s="1"/>
  <c r="BA89" i="23" s="1"/>
  <c r="BA90" i="23" s="1"/>
  <c r="BA91" i="23" s="1"/>
  <c r="BA92" i="23" s="1"/>
  <c r="BA93" i="23" s="1"/>
  <c r="BA94" i="23" s="1"/>
  <c r="BA95" i="23" s="1"/>
  <c r="BA96" i="23" s="1"/>
  <c r="BA103" i="23" s="1"/>
  <c r="BA104" i="23" s="1"/>
  <c r="BA105" i="23" s="1"/>
  <c r="BA106" i="23" s="1"/>
  <c r="BA107" i="23" s="1"/>
  <c r="BA108" i="23" s="1"/>
  <c r="BA109" i="23" s="1"/>
  <c r="BA110" i="23" s="1"/>
  <c r="BA111" i="23" s="1"/>
  <c r="BA112" i="23" s="1"/>
  <c r="BA113" i="23" s="1"/>
  <c r="BA114" i="23" s="1"/>
  <c r="BA121" i="23" s="1"/>
  <c r="BA122" i="23" s="1"/>
  <c r="BA123" i="23" s="1"/>
  <c r="BA124" i="23" s="1"/>
  <c r="BA125" i="23" s="1"/>
  <c r="BA126" i="23" s="1"/>
  <c r="BA127" i="23" s="1"/>
  <c r="BA128" i="23" s="1"/>
  <c r="BA129" i="23" s="1"/>
  <c r="BA130" i="23" s="1"/>
  <c r="BA131" i="23" s="1"/>
  <c r="BA132" i="23" s="1"/>
  <c r="BC73" i="23"/>
  <c r="BE69" i="23"/>
  <c r="BF69" i="23"/>
  <c r="BH69" i="23" s="1"/>
  <c r="BL60" i="23"/>
  <c r="BN60" i="23" s="1"/>
  <c r="BN62" i="23" s="1"/>
  <c r="BQ57" i="23"/>
  <c r="BR57" i="23"/>
  <c r="BJ60" i="23"/>
  <c r="BJ67" i="23" s="1"/>
  <c r="BJ68" i="23" s="1"/>
  <c r="BP57" i="23"/>
  <c r="BP58" i="23" s="1"/>
  <c r="BI69" i="23" l="1"/>
  <c r="BE73" i="23"/>
  <c r="BD73" i="23"/>
  <c r="BD74" i="23" s="1"/>
  <c r="BD75" i="23" s="1"/>
  <c r="BG69" i="23"/>
  <c r="BG70" i="23" s="1"/>
  <c r="BG71" i="23" s="1"/>
  <c r="BG72" i="23" s="1"/>
  <c r="BM60" i="23"/>
  <c r="BM67" i="23" s="1"/>
  <c r="BM68" i="23" s="1"/>
  <c r="BO59" i="23"/>
  <c r="BC76" i="23" l="1"/>
  <c r="BK69" i="23"/>
  <c r="BL69" i="23"/>
  <c r="BN69" i="23" s="1"/>
  <c r="BF73" i="23"/>
  <c r="BG73" i="23" s="1"/>
  <c r="BG74" i="23" s="1"/>
  <c r="BG75" i="23" s="1"/>
  <c r="BJ69" i="23"/>
  <c r="BJ70" i="23" s="1"/>
  <c r="BJ71" i="23" s="1"/>
  <c r="BJ72" i="23" s="1"/>
  <c r="BR59" i="23"/>
  <c r="BQ59" i="23"/>
  <c r="BP59" i="23"/>
  <c r="BF76" i="23" l="1"/>
  <c r="BH76" i="23" s="1"/>
  <c r="BE76" i="23"/>
  <c r="BE80" i="23" s="1"/>
  <c r="F21" i="23" s="1"/>
  <c r="BM69" i="23"/>
  <c r="BM70" i="23" s="1"/>
  <c r="BM71" i="23" s="1"/>
  <c r="BM72" i="23" s="1"/>
  <c r="BH73" i="23"/>
  <c r="BI73" i="23"/>
  <c r="BK73" i="23" s="1"/>
  <c r="BD76" i="23"/>
  <c r="BD77" i="23" s="1"/>
  <c r="BD78" i="23" s="1"/>
  <c r="BD85" i="23" s="1"/>
  <c r="BD86" i="23" s="1"/>
  <c r="BD87" i="23" s="1"/>
  <c r="BD88" i="23" s="1"/>
  <c r="BD89" i="23" s="1"/>
  <c r="BD90" i="23" s="1"/>
  <c r="BD91" i="23" s="1"/>
  <c r="BD92" i="23" s="1"/>
  <c r="BD93" i="23" s="1"/>
  <c r="BD94" i="23" s="1"/>
  <c r="BD95" i="23" s="1"/>
  <c r="BD96" i="23" s="1"/>
  <c r="BD103" i="23" s="1"/>
  <c r="BD104" i="23" s="1"/>
  <c r="BD105" i="23" s="1"/>
  <c r="BD106" i="23" s="1"/>
  <c r="BD107" i="23" s="1"/>
  <c r="BD108" i="23" s="1"/>
  <c r="BD109" i="23" s="1"/>
  <c r="BD110" i="23" s="1"/>
  <c r="BD111" i="23" s="1"/>
  <c r="BD112" i="23" s="1"/>
  <c r="BD113" i="23" s="1"/>
  <c r="BD114" i="23" s="1"/>
  <c r="BD121" i="23" s="1"/>
  <c r="BD122" i="23" s="1"/>
  <c r="BD123" i="23" s="1"/>
  <c r="BD124" i="23" s="1"/>
  <c r="BD125" i="23" s="1"/>
  <c r="BD126" i="23" s="1"/>
  <c r="BD127" i="23" s="1"/>
  <c r="BD128" i="23" s="1"/>
  <c r="BD129" i="23" s="1"/>
  <c r="BD130" i="23" s="1"/>
  <c r="BD131" i="23" s="1"/>
  <c r="BD132" i="23" s="1"/>
  <c r="BO60" i="23"/>
  <c r="BP60" i="23" s="1"/>
  <c r="BP67" i="23" s="1"/>
  <c r="BP68" i="23" s="1"/>
  <c r="BO69" i="23" s="1"/>
  <c r="BH80" i="23" l="1"/>
  <c r="F22" i="23" s="1"/>
  <c r="BQ69" i="23"/>
  <c r="BR69" i="23"/>
  <c r="BG76" i="23"/>
  <c r="BG77" i="23" s="1"/>
  <c r="BG78" i="23" s="1"/>
  <c r="BG85" i="23" s="1"/>
  <c r="BG86" i="23" s="1"/>
  <c r="BG87" i="23" s="1"/>
  <c r="BG88" i="23" s="1"/>
  <c r="BG89" i="23" s="1"/>
  <c r="BG90" i="23" s="1"/>
  <c r="BG91" i="23" s="1"/>
  <c r="BG92" i="23" s="1"/>
  <c r="BG93" i="23" s="1"/>
  <c r="BG94" i="23" s="1"/>
  <c r="BG95" i="23" s="1"/>
  <c r="BG96" i="23" s="1"/>
  <c r="BG103" i="23" s="1"/>
  <c r="BG104" i="23" s="1"/>
  <c r="BG105" i="23" s="1"/>
  <c r="BG106" i="23" s="1"/>
  <c r="BG107" i="23" s="1"/>
  <c r="BG108" i="23" s="1"/>
  <c r="BG109" i="23" s="1"/>
  <c r="BG110" i="23" s="1"/>
  <c r="BG111" i="23" s="1"/>
  <c r="BG112" i="23" s="1"/>
  <c r="BG113" i="23" s="1"/>
  <c r="BG114" i="23" s="1"/>
  <c r="BG121" i="23" s="1"/>
  <c r="BG122" i="23" s="1"/>
  <c r="BG123" i="23" s="1"/>
  <c r="BG124" i="23" s="1"/>
  <c r="BG125" i="23" s="1"/>
  <c r="BG126" i="23" s="1"/>
  <c r="BG127" i="23" s="1"/>
  <c r="BG128" i="23" s="1"/>
  <c r="BG129" i="23" s="1"/>
  <c r="BG130" i="23" s="1"/>
  <c r="BG131" i="23" s="1"/>
  <c r="BG132" i="23" s="1"/>
  <c r="BP69" i="23"/>
  <c r="BP70" i="23" s="1"/>
  <c r="BP71" i="23" s="1"/>
  <c r="BP72" i="23" s="1"/>
  <c r="BL73" i="23"/>
  <c r="BN73" i="23" s="1"/>
  <c r="BJ73" i="23"/>
  <c r="BJ74" i="23" s="1"/>
  <c r="BJ75" i="23" s="1"/>
  <c r="BR60" i="23"/>
  <c r="BR62" i="23" s="1"/>
  <c r="BQ60" i="23"/>
  <c r="BQ62" i="23" s="1"/>
  <c r="E20" i="23"/>
  <c r="J20" i="23" s="1"/>
  <c r="G20" i="23" s="1"/>
  <c r="E139" i="23"/>
  <c r="E46" i="23"/>
  <c r="E64" i="23" s="1"/>
  <c r="E82" i="23" s="1"/>
  <c r="E100" i="23" s="1"/>
  <c r="E118" i="23" s="1"/>
  <c r="E137" i="23" s="1"/>
  <c r="BM73" i="23" l="1"/>
  <c r="BM74" i="23" s="1"/>
  <c r="BM75" i="23" s="1"/>
  <c r="BO73" i="23"/>
  <c r="BR73" i="23" s="1"/>
  <c r="BI76" i="23"/>
  <c r="BJ76" i="23" s="1"/>
  <c r="BJ77" i="23" s="1"/>
  <c r="BJ78" i="23" s="1"/>
  <c r="BJ85" i="23" s="1"/>
  <c r="BJ86" i="23" s="1"/>
  <c r="BJ87" i="23" s="1"/>
  <c r="BJ88" i="23" s="1"/>
  <c r="BJ89" i="23" s="1"/>
  <c r="BJ90" i="23" s="1"/>
  <c r="BJ91" i="23" s="1"/>
  <c r="BJ92" i="23" s="1"/>
  <c r="BJ93" i="23" s="1"/>
  <c r="BJ94" i="23" s="1"/>
  <c r="BJ95" i="23" s="1"/>
  <c r="BJ96" i="23" s="1"/>
  <c r="BJ103" i="23" s="1"/>
  <c r="BJ104" i="23" s="1"/>
  <c r="BJ105" i="23" s="1"/>
  <c r="BJ106" i="23" s="1"/>
  <c r="BJ107" i="23" s="1"/>
  <c r="BJ108" i="23" s="1"/>
  <c r="BJ109" i="23" s="1"/>
  <c r="BJ110" i="23" s="1"/>
  <c r="BJ111" i="23" s="1"/>
  <c r="BJ112" i="23" s="1"/>
  <c r="BJ113" i="23" s="1"/>
  <c r="BJ114" i="23" s="1"/>
  <c r="BJ121" i="23" s="1"/>
  <c r="BJ122" i="23" s="1"/>
  <c r="BJ123" i="23" s="1"/>
  <c r="BJ124" i="23" s="1"/>
  <c r="BJ125" i="23" s="1"/>
  <c r="BJ126" i="23" s="1"/>
  <c r="BJ127" i="23" s="1"/>
  <c r="BJ128" i="23" s="1"/>
  <c r="BJ129" i="23" s="1"/>
  <c r="BJ130" i="23" s="1"/>
  <c r="BJ131" i="23" s="1"/>
  <c r="BJ132" i="23" s="1"/>
  <c r="F45" i="23"/>
  <c r="F136" i="23"/>
  <c r="F99" i="23"/>
  <c r="F63" i="23"/>
  <c r="F117" i="23"/>
  <c r="F81" i="23"/>
  <c r="K20" i="23"/>
  <c r="E21" i="23"/>
  <c r="E22" i="23" s="1"/>
  <c r="E23" i="23" s="1"/>
  <c r="BQ73" i="23" l="1"/>
  <c r="BP73" i="23"/>
  <c r="BP74" i="23" s="1"/>
  <c r="BP75" i="23" s="1"/>
  <c r="BK76" i="23"/>
  <c r="BK80" i="23" s="1"/>
  <c r="F23" i="23" s="1"/>
  <c r="BL76" i="23"/>
  <c r="J23" i="23"/>
  <c r="K23" i="23"/>
  <c r="J22" i="23"/>
  <c r="G22" i="23" s="1"/>
  <c r="K22" i="23"/>
  <c r="E24" i="23"/>
  <c r="E25" i="23" s="1"/>
  <c r="J21" i="23"/>
  <c r="G21" i="23" s="1"/>
  <c r="K21" i="23"/>
  <c r="BN76" i="23" l="1"/>
  <c r="BN80" i="23" s="1"/>
  <c r="F24" i="23" s="1"/>
  <c r="BM76" i="23"/>
  <c r="BM77" i="23" s="1"/>
  <c r="BM78" i="23" s="1"/>
  <c r="BM85" i="23" s="1"/>
  <c r="BM86" i="23" s="1"/>
  <c r="BM87" i="23" s="1"/>
  <c r="BM88" i="23" s="1"/>
  <c r="BM89" i="23" s="1"/>
  <c r="BM90" i="23" s="1"/>
  <c r="BM91" i="23" s="1"/>
  <c r="BM92" i="23" s="1"/>
  <c r="BM93" i="23" s="1"/>
  <c r="BM94" i="23" s="1"/>
  <c r="BM95" i="23" s="1"/>
  <c r="BM96" i="23" s="1"/>
  <c r="BM103" i="23" s="1"/>
  <c r="BM104" i="23" s="1"/>
  <c r="BM105" i="23" s="1"/>
  <c r="BM106" i="23" s="1"/>
  <c r="BM107" i="23" s="1"/>
  <c r="BM108" i="23" s="1"/>
  <c r="BM109" i="23" s="1"/>
  <c r="BM110" i="23" s="1"/>
  <c r="BM111" i="23" s="1"/>
  <c r="BM112" i="23" s="1"/>
  <c r="BM113" i="23" s="1"/>
  <c r="BM114" i="23" s="1"/>
  <c r="BM121" i="23" s="1"/>
  <c r="BM122" i="23" s="1"/>
  <c r="BM123" i="23" s="1"/>
  <c r="BM124" i="23" s="1"/>
  <c r="BM125" i="23" s="1"/>
  <c r="BM126" i="23" s="1"/>
  <c r="BM127" i="23" s="1"/>
  <c r="BM128" i="23" s="1"/>
  <c r="BM129" i="23" s="1"/>
  <c r="BM130" i="23" s="1"/>
  <c r="BM131" i="23" s="1"/>
  <c r="BM132" i="23" s="1"/>
  <c r="G23" i="23"/>
  <c r="BO76" i="23"/>
  <c r="J24" i="23"/>
  <c r="K24" i="23"/>
  <c r="J25" i="23"/>
  <c r="K25" i="23"/>
  <c r="G24" i="23" l="1"/>
  <c r="BQ76" i="23"/>
  <c r="BQ80" i="23" s="1"/>
  <c r="F25" i="23" s="1"/>
  <c r="G25" i="23" s="1"/>
  <c r="BR76" i="23"/>
  <c r="BR80" i="23" s="1"/>
  <c r="BP76" i="23"/>
  <c r="BP77" i="23" s="1"/>
  <c r="BP78" i="23" s="1"/>
  <c r="BP85" i="23" s="1"/>
  <c r="BP86" i="23" s="1"/>
  <c r="BP87" i="23" s="1"/>
  <c r="BP88" i="23" s="1"/>
  <c r="BP89" i="23" s="1"/>
  <c r="BP90" i="23" s="1"/>
  <c r="BP91" i="23" s="1"/>
  <c r="BP92" i="23" s="1"/>
  <c r="BP93" i="23" s="1"/>
  <c r="BP94" i="23" s="1"/>
  <c r="BP95" i="23" s="1"/>
  <c r="BP96" i="23" s="1"/>
  <c r="BP103" i="23" s="1"/>
  <c r="BP104" i="23" s="1"/>
  <c r="BP105" i="23" s="1"/>
  <c r="BP106" i="23" s="1"/>
  <c r="BP107" i="23" s="1"/>
  <c r="BP108" i="23" s="1"/>
  <c r="BP109" i="23" s="1"/>
  <c r="BP110" i="23" s="1"/>
  <c r="BP111" i="23" s="1"/>
  <c r="BP112" i="23" s="1"/>
  <c r="BP113" i="23" s="1"/>
  <c r="BP114" i="23" s="1"/>
  <c r="BP121" i="23" s="1"/>
  <c r="BP122" i="23" s="1"/>
  <c r="BP123" i="23" s="1"/>
  <c r="BP124" i="23" s="1"/>
  <c r="BP125" i="23" s="1"/>
  <c r="BP126" i="23" s="1"/>
  <c r="BP127" i="23" s="1"/>
  <c r="BP128" i="23" s="1"/>
  <c r="BP129" i="23" s="1"/>
  <c r="BP130" i="23" s="1"/>
  <c r="BP131" i="23" s="1"/>
  <c r="BP132" i="23" s="1"/>
  <c r="CL31" i="24"/>
  <c r="B32" i="24"/>
  <c r="B33" i="24" s="1"/>
  <c r="C33" i="24" s="1"/>
  <c r="M33" i="24" s="1"/>
  <c r="G26" i="23" l="1"/>
  <c r="H28" i="23" s="1"/>
  <c r="C32" i="24"/>
  <c r="M32" i="24" s="1"/>
  <c r="CL32" i="24"/>
  <c r="CL33" i="24"/>
  <c r="B34" i="24"/>
  <c r="CL34" i="24" l="1"/>
  <c r="B35" i="24"/>
  <c r="C34" i="24"/>
  <c r="M34" i="24" s="1"/>
  <c r="C35" i="24" l="1"/>
  <c r="M35" i="24" s="1"/>
  <c r="CL35" i="24"/>
  <c r="B36" i="24"/>
  <c r="CL36" i="24" l="1"/>
  <c r="C36" i="24"/>
  <c r="M36" i="24" s="1"/>
  <c r="B37" i="24"/>
  <c r="CL37" i="24" l="1"/>
  <c r="C37" i="24"/>
  <c r="M37" i="24" s="1"/>
  <c r="B38" i="24"/>
  <c r="C38" i="24" l="1"/>
  <c r="M38" i="24" s="1"/>
  <c r="CL38" i="24"/>
  <c r="B39" i="24"/>
  <c r="C39" i="24" l="1"/>
  <c r="M39" i="24" s="1"/>
  <c r="CL39" i="24"/>
  <c r="B40" i="24"/>
  <c r="C40" i="24" l="1"/>
  <c r="M40" i="24" s="1"/>
  <c r="CL40" i="24"/>
  <c r="B41" i="24"/>
  <c r="C41" i="24" l="1"/>
  <c r="M41" i="24" s="1"/>
  <c r="CL41" i="24"/>
  <c r="B42" i="24"/>
  <c r="CL42" i="24" l="1"/>
  <c r="B49" i="24"/>
  <c r="C42" i="24"/>
  <c r="M42" i="24" s="1"/>
  <c r="C30" i="24"/>
  <c r="AW29" i="24" l="1"/>
  <c r="AW47" i="24" s="1"/>
  <c r="AW65" i="24" s="1"/>
  <c r="AW83" i="24" s="1"/>
  <c r="AW101" i="24" s="1"/>
  <c r="AW119" i="24" s="1"/>
  <c r="C20" i="24"/>
  <c r="C49" i="24"/>
  <c r="CL49" i="24"/>
  <c r="B50" i="24"/>
  <c r="CL50" i="24" l="1"/>
  <c r="C50" i="24"/>
  <c r="M50" i="24" s="1"/>
  <c r="B51" i="24"/>
  <c r="M49" i="24"/>
  <c r="CM44" i="24"/>
  <c r="C51" i="24" l="1"/>
  <c r="M51" i="24" s="1"/>
  <c r="CL51" i="24"/>
  <c r="B52" i="24"/>
  <c r="C52" i="24" l="1"/>
  <c r="M52" i="24" s="1"/>
  <c r="B53" i="24"/>
  <c r="CL52" i="24"/>
  <c r="CL53" i="24" l="1"/>
  <c r="C53" i="24"/>
  <c r="M53" i="24" s="1"/>
  <c r="B54" i="24"/>
  <c r="C54" i="24" l="1"/>
  <c r="M54" i="24" s="1"/>
  <c r="CL54" i="24"/>
  <c r="B55" i="24"/>
  <c r="C55" i="24" l="1"/>
  <c r="M55" i="24" s="1"/>
  <c r="CL55" i="24"/>
  <c r="B56" i="24"/>
  <c r="C56" i="24" l="1"/>
  <c r="M56" i="24" s="1"/>
  <c r="B57" i="24"/>
  <c r="CL56" i="24"/>
  <c r="CL57" i="24" l="1"/>
  <c r="B58" i="24"/>
  <c r="C57" i="24"/>
  <c r="M57" i="24" s="1"/>
  <c r="C58" i="24" l="1"/>
  <c r="M58" i="24" s="1"/>
  <c r="CL58" i="24"/>
  <c r="B59" i="24"/>
  <c r="C59" i="24" l="1"/>
  <c r="M59" i="24" s="1"/>
  <c r="CL59" i="24"/>
  <c r="B60" i="24"/>
  <c r="C60" i="24" l="1"/>
  <c r="M60" i="24" s="1"/>
  <c r="B67" i="24"/>
  <c r="CL60" i="24"/>
  <c r="C21" i="24"/>
  <c r="C48" i="24"/>
  <c r="AZ29" i="24" l="1"/>
  <c r="AZ47" i="24" s="1"/>
  <c r="AZ65" i="24" s="1"/>
  <c r="AZ83" i="24" s="1"/>
  <c r="AZ101" i="24" s="1"/>
  <c r="AZ119" i="24" s="1"/>
  <c r="CL67" i="24"/>
  <c r="C67" i="24"/>
  <c r="B68" i="24"/>
  <c r="CM62" i="24" l="1"/>
  <c r="M67" i="24"/>
  <c r="C68" i="24"/>
  <c r="M68" i="24" s="1"/>
  <c r="CL68" i="24"/>
  <c r="B69" i="24"/>
  <c r="C69" i="24" l="1"/>
  <c r="M69" i="24" s="1"/>
  <c r="CL69" i="24"/>
  <c r="B70" i="24"/>
  <c r="C70" i="24" l="1"/>
  <c r="M70" i="24" s="1"/>
  <c r="CL70" i="24"/>
  <c r="B71" i="24"/>
  <c r="CL71" i="24" l="1"/>
  <c r="C71" i="24"/>
  <c r="M71" i="24" s="1"/>
  <c r="B72" i="24"/>
  <c r="CL72" i="24" l="1"/>
  <c r="B73" i="24"/>
  <c r="C72" i="24"/>
  <c r="M72" i="24" s="1"/>
  <c r="C73" i="24" l="1"/>
  <c r="M73" i="24" s="1"/>
  <c r="CL73" i="24"/>
  <c r="B74" i="24"/>
  <c r="C74" i="24" l="1"/>
  <c r="M74" i="24" s="1"/>
  <c r="CL74" i="24"/>
  <c r="B75" i="24"/>
  <c r="C75" i="24" l="1"/>
  <c r="M75" i="24" s="1"/>
  <c r="CL75" i="24"/>
  <c r="B76" i="24"/>
  <c r="CL76" i="24" l="1"/>
  <c r="B77" i="24"/>
  <c r="C76" i="24"/>
  <c r="M76" i="24" s="1"/>
  <c r="C77" i="24" l="1"/>
  <c r="M77" i="24" s="1"/>
  <c r="CL77" i="24"/>
  <c r="B78" i="24"/>
  <c r="C78" i="24" l="1"/>
  <c r="M78" i="24" s="1"/>
  <c r="CL78" i="24"/>
  <c r="B85" i="24"/>
  <c r="BC29" i="24"/>
  <c r="BC47" i="24" s="1"/>
  <c r="BC65" i="24" s="1"/>
  <c r="BC83" i="24" s="1"/>
  <c r="BC101" i="24" s="1"/>
  <c r="BC119" i="24" s="1"/>
  <c r="C66" i="24" l="1"/>
  <c r="C22" i="24"/>
  <c r="C85" i="24"/>
  <c r="CL85" i="24"/>
  <c r="B86" i="24"/>
  <c r="M85" i="24" l="1"/>
  <c r="CM80" i="24"/>
  <c r="C86" i="24"/>
  <c r="M86" i="24" s="1"/>
  <c r="CL86" i="24"/>
  <c r="B87" i="24"/>
  <c r="CL87" i="24" l="1"/>
  <c r="C87" i="24"/>
  <c r="M87" i="24" s="1"/>
  <c r="B88" i="24"/>
  <c r="C88" i="24" l="1"/>
  <c r="M88" i="24" s="1"/>
  <c r="CL88" i="24"/>
  <c r="B89" i="24"/>
  <c r="C89" i="24" l="1"/>
  <c r="M89" i="24" s="1"/>
  <c r="CL89" i="24"/>
  <c r="B90" i="24"/>
  <c r="C90" i="24" l="1"/>
  <c r="M90" i="24" s="1"/>
  <c r="B91" i="24"/>
  <c r="CL90" i="24"/>
  <c r="CL91" i="24" l="1"/>
  <c r="C91" i="24"/>
  <c r="M91" i="24" s="1"/>
  <c r="B92" i="24"/>
  <c r="C92" i="24" l="1"/>
  <c r="M92" i="24" s="1"/>
  <c r="CL92" i="24"/>
  <c r="B93" i="24"/>
  <c r="C93" i="24" l="1"/>
  <c r="M93" i="24" s="1"/>
  <c r="CL93" i="24"/>
  <c r="B94" i="24"/>
  <c r="C94" i="24" l="1"/>
  <c r="M94" i="24" s="1"/>
  <c r="B95" i="24"/>
  <c r="CL94" i="24"/>
  <c r="CL95" i="24" l="1"/>
  <c r="B96" i="24"/>
  <c r="C95" i="24"/>
  <c r="M95" i="24" s="1"/>
  <c r="C96" i="24" l="1"/>
  <c r="M96" i="24" s="1"/>
  <c r="B103" i="24"/>
  <c r="CL96" i="24"/>
  <c r="BF29" i="24"/>
  <c r="BF47" i="24" s="1"/>
  <c r="BF65" i="24" s="1"/>
  <c r="BF83" i="24" s="1"/>
  <c r="BF101" i="24" s="1"/>
  <c r="BF119" i="24" s="1"/>
  <c r="C84" i="24"/>
  <c r="C23" i="24"/>
  <c r="C103" i="24" l="1"/>
  <c r="CL103" i="24"/>
  <c r="B104" i="24"/>
  <c r="CL104" i="24" l="1"/>
  <c r="C104" i="24"/>
  <c r="M104" i="24" s="1"/>
  <c r="B105" i="24"/>
  <c r="M103" i="24"/>
  <c r="CM98" i="24"/>
  <c r="C105" i="24" l="1"/>
  <c r="M105" i="24" s="1"/>
  <c r="B106" i="24"/>
  <c r="CL105" i="24"/>
  <c r="C106" i="24" l="1"/>
  <c r="M106" i="24" s="1"/>
  <c r="CL106" i="24"/>
  <c r="B107" i="24"/>
  <c r="C107" i="24" l="1"/>
  <c r="M107" i="24" s="1"/>
  <c r="CL107" i="24"/>
  <c r="B108" i="24"/>
  <c r="C108" i="24" l="1"/>
  <c r="M108" i="24" s="1"/>
  <c r="CL108" i="24"/>
  <c r="B109" i="24"/>
  <c r="C109" i="24" l="1"/>
  <c r="M109" i="24" s="1"/>
  <c r="B110" i="24"/>
  <c r="CL109" i="24"/>
  <c r="C110" i="24" l="1"/>
  <c r="M110" i="24" s="1"/>
  <c r="CL110" i="24"/>
  <c r="B111" i="24"/>
  <c r="C111" i="24" l="1"/>
  <c r="M111" i="24" s="1"/>
  <c r="CL111" i="24"/>
  <c r="B112" i="24"/>
  <c r="CL112" i="24" l="1"/>
  <c r="C112" i="24"/>
  <c r="M112" i="24" s="1"/>
  <c r="B113" i="24"/>
  <c r="C113" i="24" l="1"/>
  <c r="M113" i="24" s="1"/>
  <c r="B114" i="24"/>
  <c r="CL113" i="24"/>
  <c r="C114" i="24" l="1"/>
  <c r="M114" i="24" s="1"/>
  <c r="CL114" i="24"/>
  <c r="B121" i="24"/>
  <c r="C102" i="24"/>
  <c r="BI29" i="24"/>
  <c r="BI47" i="24" s="1"/>
  <c r="BI65" i="24" s="1"/>
  <c r="BI83" i="24" s="1"/>
  <c r="BI101" i="24" s="1"/>
  <c r="BI119" i="24" s="1"/>
  <c r="C24" i="24"/>
  <c r="CL121" i="24" l="1"/>
  <c r="C121" i="24"/>
  <c r="B122" i="24"/>
  <c r="C122" i="24" l="1"/>
  <c r="M122" i="24" s="1"/>
  <c r="B123" i="24"/>
  <c r="CL122" i="24"/>
  <c r="M121" i="24"/>
  <c r="CM116" i="24"/>
  <c r="C123" i="24" l="1"/>
  <c r="M123" i="24" s="1"/>
  <c r="CL123" i="24"/>
  <c r="B124" i="24"/>
  <c r="CL124" i="24" l="1"/>
  <c r="B125" i="24"/>
  <c r="C124" i="24"/>
  <c r="M124" i="24" s="1"/>
  <c r="CL125" i="24" l="1"/>
  <c r="C125" i="24"/>
  <c r="M125" i="24" s="1"/>
  <c r="B126" i="24"/>
  <c r="C126" i="24" l="1"/>
  <c r="M126" i="24" s="1"/>
  <c r="CL126" i="24"/>
  <c r="B127" i="24"/>
  <c r="C127" i="24" l="1"/>
  <c r="M127" i="24" s="1"/>
  <c r="CL127" i="24"/>
  <c r="B128" i="24"/>
  <c r="C128" i="24" l="1"/>
  <c r="M128" i="24" s="1"/>
  <c r="B129" i="24"/>
  <c r="CL128" i="24"/>
  <c r="CL129" i="24" l="1"/>
  <c r="C129" i="24"/>
  <c r="M129" i="24" s="1"/>
  <c r="B130" i="24"/>
  <c r="C130" i="24" l="1"/>
  <c r="M130" i="24" s="1"/>
  <c r="CL130" i="24"/>
  <c r="B131" i="24"/>
  <c r="C131" i="24" l="1"/>
  <c r="M131" i="24" s="1"/>
  <c r="CL131" i="24"/>
  <c r="B132" i="24"/>
  <c r="C132" i="24" l="1"/>
  <c r="M132" i="24" s="1"/>
  <c r="CL132" i="24"/>
  <c r="BL29" i="24" l="1"/>
  <c r="BL47" i="24" s="1"/>
  <c r="BL65" i="24" s="1"/>
  <c r="BL83" i="24" s="1"/>
  <c r="BL101" i="24" s="1"/>
  <c r="BL119" i="24" s="1"/>
  <c r="C120" i="24"/>
  <c r="C25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D38" authorId="0" shapeId="0" xr:uid="{3A8B1E79-AE76-4B69-BEA3-CB7AA27154C6}">
      <text>
        <r>
          <rPr>
            <sz val="9"/>
            <color indexed="81"/>
            <rFont val="Tahoma"/>
            <family val="2"/>
          </rPr>
          <t>Seulement pour la dernière année du contrat si l'AM y a droit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si ERREUR trop de jours enfants pris en compte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D38" authorId="0" shapeId="0" xr:uid="{051EE1F7-8590-4F67-A61E-444B5B84F4CF}">
      <text>
        <r>
          <rPr>
            <sz val="9"/>
            <color indexed="81"/>
            <rFont val="Tahoma"/>
            <family val="2"/>
          </rPr>
          <t>Seulement pour la dernière année du contrat si l'AM y a droit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si ERREUR trop de jours enfants pris en compte</t>
        </r>
      </text>
    </comment>
  </commentList>
</comments>
</file>

<file path=xl/sharedStrings.xml><?xml version="1.0" encoding="utf-8"?>
<sst xmlns="http://schemas.openxmlformats.org/spreadsheetml/2006/main" count="1093" uniqueCount="184">
  <si>
    <t>Total :</t>
  </si>
  <si>
    <t>Outil de calcul de l'indemnité compensatrice des congés payés en Année Complète</t>
  </si>
  <si>
    <t>TOTAL :</t>
  </si>
  <si>
    <t>BRUT</t>
  </si>
  <si>
    <t>Syndicat national FO des emplois de la famille       www.emploisdelafamille-fo.fr</t>
  </si>
  <si>
    <t xml:space="preserve">fin de contrat : </t>
  </si>
  <si>
    <t>Année 1</t>
  </si>
  <si>
    <t>Année 2</t>
  </si>
  <si>
    <t>Année 3</t>
  </si>
  <si>
    <t>Année 4</t>
  </si>
  <si>
    <t>Année 5</t>
  </si>
  <si>
    <t>Année 6</t>
  </si>
  <si>
    <t>Calcul en :</t>
  </si>
  <si>
    <t>(NET ou BRUT)</t>
  </si>
  <si>
    <t>Base ICCP</t>
  </si>
  <si>
    <t>Salaire de l'année A1</t>
  </si>
  <si>
    <t>Nom employeur :</t>
  </si>
  <si>
    <t>Salaire de l'année A2</t>
  </si>
  <si>
    <t>Salaire de l'année A3</t>
  </si>
  <si>
    <t>Nom enfant :</t>
  </si>
  <si>
    <t>Salaire de l'année A4</t>
  </si>
  <si>
    <t>Salaire de l'année A5</t>
  </si>
  <si>
    <t>Salaire de l'année A6</t>
  </si>
  <si>
    <t>Salaire année en cours</t>
  </si>
  <si>
    <t>Jours acquis A1</t>
  </si>
  <si>
    <t>Nombre de semaine du contrat :</t>
  </si>
  <si>
    <t>Jours acquis A2</t>
  </si>
  <si>
    <t>Jours acquis A3</t>
  </si>
  <si>
    <t>Salaire hebdomadaire (6 jours ouvrables):</t>
  </si>
  <si>
    <t>Jours acquis A4</t>
  </si>
  <si>
    <t>Jours acquis A5</t>
  </si>
  <si>
    <t>Date du contrat :</t>
  </si>
  <si>
    <t>(jj/mm/aaaa)</t>
  </si>
  <si>
    <t>Jours acquis A6</t>
  </si>
  <si>
    <t>Jours acquis année en cours</t>
  </si>
  <si>
    <t>Date de fin du contrat :</t>
  </si>
  <si>
    <t>Jours pris A1</t>
  </si>
  <si>
    <t>Jours pris A2</t>
  </si>
  <si>
    <t>Nombre de jours ICCP (arrondi au supérieur) :</t>
  </si>
  <si>
    <t>Jours pris A3</t>
  </si>
  <si>
    <t>Jours pris A4</t>
  </si>
  <si>
    <t>Jours pris A5</t>
  </si>
  <si>
    <t>Jours pris A6</t>
  </si>
  <si>
    <t>Jours pris année en cours</t>
  </si>
  <si>
    <t>Jours restant A1</t>
  </si>
  <si>
    <t>Jours restant A2</t>
  </si>
  <si>
    <t>Jours restant A3</t>
  </si>
  <si>
    <t>Jours restant A4</t>
  </si>
  <si>
    <t>Jours restant A5</t>
  </si>
  <si>
    <t xml:space="preserve">Total pour toutes les périodes : </t>
  </si>
  <si>
    <t>Jours restant A6</t>
  </si>
  <si>
    <t>Jours restant année en cours</t>
  </si>
  <si>
    <t>Jours restant total hors compl de la dernière année</t>
  </si>
  <si>
    <t>Montant 10% A1</t>
  </si>
  <si>
    <t>Jours acquis Année en cours</t>
  </si>
  <si>
    <t>Jours pris Année en cours</t>
  </si>
  <si>
    <t>Solde</t>
  </si>
  <si>
    <t>Montant 10% A2</t>
  </si>
  <si>
    <t>Montant 10% A3</t>
  </si>
  <si>
    <t>Montant 10% A4</t>
  </si>
  <si>
    <t>Jours de fractionnements non pris :</t>
  </si>
  <si>
    <t>Valeurs jrs fract.</t>
  </si>
  <si>
    <t>Montant 10% A5</t>
  </si>
  <si>
    <t>Jours enfant -15 ans :</t>
  </si>
  <si>
    <t>Valeurs jrs enfants -15 ans</t>
  </si>
  <si>
    <t>Montant 10% A6</t>
  </si>
  <si>
    <t>Détail 10% A1</t>
  </si>
  <si>
    <t>Jours acquis année en cours sans jours complémentaires :</t>
  </si>
  <si>
    <t>Solde hors jrs compl.</t>
  </si>
  <si>
    <t>Calcul pour les périodes en arrêt de travail pour MALADIE</t>
  </si>
  <si>
    <t>Détail 10% A2</t>
  </si>
  <si>
    <t>Détail 10% A3</t>
  </si>
  <si>
    <t>Jours acquis dans l'année</t>
  </si>
  <si>
    <t>Jours pris dans l'année</t>
  </si>
  <si>
    <t>Commentaires</t>
  </si>
  <si>
    <t>Mois</t>
  </si>
  <si>
    <t>Jrs acquis en arrêt de maladie (2 jrs par mois)</t>
  </si>
  <si>
    <t>date dans contrat</t>
  </si>
  <si>
    <t>Détail 10% A4</t>
  </si>
  <si>
    <t>Détail 10% A5</t>
  </si>
  <si>
    <t>Détail 10% A6</t>
  </si>
  <si>
    <t>jrs enfant -15ans</t>
  </si>
  <si>
    <t>Jrs acquis arrêt maladie :</t>
  </si>
  <si>
    <t>Jrs enfant - 15 ans :</t>
  </si>
  <si>
    <t>Total de la période (arrondi supp. Jrs acquis) :</t>
  </si>
  <si>
    <t>Total depuis le début du contrat :</t>
  </si>
  <si>
    <t>iccp</t>
  </si>
  <si>
    <t>Jours pris</t>
  </si>
  <si>
    <t>Taux conversion brut/net :</t>
  </si>
  <si>
    <t>Situation au 31/05 - Comparatif Paiement CP Méthode 10% ou Maintien Salaire Année Complète</t>
  </si>
  <si>
    <t>Modification mensualisation en cas d'avenant</t>
  </si>
  <si>
    <t>Congés pris</t>
  </si>
  <si>
    <t>Valeurs congés pris maintien de salaire</t>
  </si>
  <si>
    <t>Valeur congés pris 10%</t>
  </si>
  <si>
    <t>Mensualisation du mois</t>
  </si>
  <si>
    <t>Si 10% plus favorable complément à percevoir</t>
  </si>
  <si>
    <t>Montant déjà perçus</t>
  </si>
  <si>
    <t>NET</t>
  </si>
  <si>
    <t xml:space="preserve">           Syndicat national FO des emplois de la famille       www.emploisdelafamille-fo.fr</t>
  </si>
  <si>
    <t>Mathis</t>
  </si>
  <si>
    <t>Mme MARTIN Céline</t>
  </si>
  <si>
    <t>Valeurs d'un jour en maintien</t>
  </si>
  <si>
    <t>Montant jours pris en maintien de salaire</t>
  </si>
  <si>
    <t>Valeur d'un jour CP pris en maintien de salaire</t>
  </si>
  <si>
    <t>Cumul jrs pris cette période</t>
  </si>
  <si>
    <t>total jours pris</t>
  </si>
  <si>
    <t>TOTAL</t>
  </si>
  <si>
    <t>6 jrs sans solde</t>
  </si>
  <si>
    <t>Jrs enfant de -15 ans et jours de fract. Dernière période</t>
  </si>
  <si>
    <t>NON</t>
  </si>
  <si>
    <t>OUI</t>
  </si>
  <si>
    <t>Mensualisation en BRUT :</t>
  </si>
  <si>
    <t>Détail : 750 € X 12 mois / 52 sem</t>
  </si>
  <si>
    <t/>
  </si>
  <si>
    <t>Montant ICCP en maintien de salaire en BRUT :</t>
  </si>
  <si>
    <t>Détail : Salaire hebdomadaire / 6 jours X Nombre de jours ICCP = 173,08 € / 6 jours X 35 jrs</t>
  </si>
  <si>
    <t>Montant ICCP en 10% en BRUT :</t>
  </si>
  <si>
    <t>Période : 
Septembre 2022 à Mai 2023</t>
  </si>
  <si>
    <t>Détail : [Total Salaire (hors indemnités) X 10 / 100 X ( jours restants / jrs acquis) ] = [6632,7 € X 0,10 X 0 jrs / 24 jrs]</t>
  </si>
  <si>
    <t>Période : 
Juin 2023 à Mai 2024</t>
  </si>
  <si>
    <t>Détail : [Total Salaire (hors indemnités) X 10 / 100 X ( jours restants / jrs acquis) ] = [8213,29 € X 0,10 X 0 jrs / 30 jrs]</t>
  </si>
  <si>
    <t>Période de : 
Juin 2024 à Mai 2025</t>
  </si>
  <si>
    <t>Détail : [Total Salaire (hors indemnités) X 10 / 100 X ( jours restants / jrs acquis) ] = [8603,31 € X 0,10 X 30 jrs / 30 jrs]</t>
  </si>
  <si>
    <t>Période de : 
Juin 2025 à Juillet 2025</t>
  </si>
  <si>
    <t>Détail : [Total Salaire (hors indemnités) X 10 / 100 X ( jours restants / jrs acquis) ] = [1500 € X 0,10 X 5 jrs / 5 jrs]</t>
  </si>
  <si>
    <t>On prends le montant le plus avantageux pour le salarié (en BRUT) :</t>
  </si>
  <si>
    <t>Soit en net : 789,27 €</t>
  </si>
  <si>
    <t>Salaire brut Année en cours (hors indemnités)</t>
  </si>
  <si>
    <t>Détail : Salaire X 0,1 / jrs acquis sans enfants  X nbre de jrs fact. = 1500 € X 0,1 / 5 jrs X  jrs</t>
  </si>
  <si>
    <t>Détail : Salaire X 0,1 / jrs acquis sans enfants X nbre de jrs enfant = 1500 € X 0,1 / 5 jrs X  jrs</t>
  </si>
  <si>
    <t>= [6632,7 € X 0,10 X 0 jrs / 24 jrs]</t>
  </si>
  <si>
    <t>= [8213,29 € X 0,10 X 0 jrs / 30 jrs]</t>
  </si>
  <si>
    <t>= [8603,31 € X 0,10 X 30 jrs / 30 jrs]</t>
  </si>
  <si>
    <t>= [1500 € X 0,10 X 5 jrs / 5 jrs]</t>
  </si>
  <si>
    <t>Salaires bruts de l'année (hors indemnités)</t>
  </si>
  <si>
    <t>80% des Salaires bruts correspondants à l'arrêt de maladie</t>
  </si>
  <si>
    <t>Juin 2022</t>
  </si>
  <si>
    <t>Juillet 2022</t>
  </si>
  <si>
    <t>Aout 2022</t>
  </si>
  <si>
    <t>Septembre 2022</t>
  </si>
  <si>
    <t>Octobre 2022</t>
  </si>
  <si>
    <t>Novembre 2022</t>
  </si>
  <si>
    <t>Décembre 2022</t>
  </si>
  <si>
    <t>Janvier 2023</t>
  </si>
  <si>
    <t>Février 2023</t>
  </si>
  <si>
    <t>Mars 2023</t>
  </si>
  <si>
    <t>Avril 2023</t>
  </si>
  <si>
    <t>Mai 2023</t>
  </si>
  <si>
    <t>= 6079,97 €  / 22 jrs X 2 jrs</t>
  </si>
  <si>
    <t>Pris (congés acquis : Septembre 2022 à Mai 2023) :</t>
  </si>
  <si>
    <t>Reste à prendre (congés acquis : Septembre 2022 à Mai 2023)</t>
  </si>
  <si>
    <t>Juin 2023</t>
  </si>
  <si>
    <t>Juillet 2023</t>
  </si>
  <si>
    <t>Aout 2023</t>
  </si>
  <si>
    <t>Septembre 2023</t>
  </si>
  <si>
    <t>Octobre 2023</t>
  </si>
  <si>
    <t>Novembre 2023</t>
  </si>
  <si>
    <t>Décembre 2023</t>
  </si>
  <si>
    <t>Janvier 2024</t>
  </si>
  <si>
    <t>Février 2024</t>
  </si>
  <si>
    <t>Mars 2024</t>
  </si>
  <si>
    <t>Avril 2024</t>
  </si>
  <si>
    <t>Mai 2024</t>
  </si>
  <si>
    <t>Pris (congés acquis : Juin 2023 à Mai 2024) :</t>
  </si>
  <si>
    <t>Reste à prendre (congés acquis : Juin 2023 à Mai 2024)</t>
  </si>
  <si>
    <t>Juin 2024</t>
  </si>
  <si>
    <t>Juillet 2024</t>
  </si>
  <si>
    <t>Aout 2024</t>
  </si>
  <si>
    <t>Septembre 2024</t>
  </si>
  <si>
    <t>Octobre 2024</t>
  </si>
  <si>
    <t>Novembre 2024</t>
  </si>
  <si>
    <t>Décembre 2024</t>
  </si>
  <si>
    <t>Janvier 2025</t>
  </si>
  <si>
    <t>Février 2025</t>
  </si>
  <si>
    <t>Mars 2025</t>
  </si>
  <si>
    <t>Avril 2025</t>
  </si>
  <si>
    <t>Mai 2025</t>
  </si>
  <si>
    <t>Pris (congés acquis : Juin 2024 à Mai 2025) :</t>
  </si>
  <si>
    <t>Reste à prendre (congés acquis : Juin 2024 à Mai 2025)</t>
  </si>
  <si>
    <t>Juin 2025</t>
  </si>
  <si>
    <t>Juillet 2025</t>
  </si>
  <si>
    <t>Pris (congés acquis :Juin 2025 à Juillet 2025) :</t>
  </si>
  <si>
    <t>Reste à prendre (congés acquis :Juin 2025 à Juillet 2025)</t>
  </si>
  <si>
    <t>Situation au 31/05 - Comparatif jours des CP pris (Méthode 10% ou Maintien Salaire) Année Complète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</si>
</sst>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&quot; jrs&quot;"/>
    <numFmt numFmtId="165" formatCode="#,##0.00\ &quot;€&quot;"/>
    <numFmt numFmtId="166" formatCode="0&quot; sem&quot;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i/>
      <sz val="10"/>
      <color rgb="FFEE2224"/>
      <name val="Arial"/>
      <family val="2"/>
    </font>
    <font>
      <b/>
      <sz val="14"/>
      <color theme="1"/>
      <name val="Arial"/>
      <family val="2"/>
    </font>
    <font>
      <b/>
      <u/>
      <sz val="12"/>
      <color theme="4" tint="-0.249977111117893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7" tint="-0.249977111117893"/>
      <name val="Arial"/>
      <family val="2"/>
    </font>
    <font>
      <sz val="10"/>
      <color rgb="FF7030A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i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u/>
      <sz val="10"/>
      <color theme="4" tint="-0.249977111117893"/>
      <name val="Arial"/>
      <family val="2"/>
    </font>
    <font>
      <b/>
      <i/>
      <sz val="10"/>
      <color theme="4" tint="-0.249977111117893"/>
      <name val="Arial"/>
      <family val="2"/>
    </font>
    <font>
      <i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15C5A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14" fontId="4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165" fontId="6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right"/>
      <protection hidden="1"/>
    </xf>
    <xf numFmtId="0" fontId="14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5" fillId="0" borderId="0" xfId="0" applyFont="1" applyProtection="1">
      <protection hidden="1"/>
    </xf>
    <xf numFmtId="165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hidden="1"/>
    </xf>
    <xf numFmtId="164" fontId="6" fillId="0" borderId="25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165" fontId="17" fillId="0" borderId="1" xfId="1" applyNumberFormat="1" applyFont="1" applyBorder="1" applyAlignment="1" applyProtection="1">
      <alignment horizontal="center" vertical="center"/>
      <protection hidden="1"/>
    </xf>
    <xf numFmtId="165" fontId="18" fillId="0" borderId="3" xfId="1" applyNumberFormat="1" applyFont="1" applyBorder="1" applyAlignment="1" applyProtection="1">
      <alignment horizontal="center" vertical="center"/>
      <protection hidden="1"/>
    </xf>
    <xf numFmtId="165" fontId="18" fillId="0" borderId="1" xfId="1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165" fontId="6" fillId="0" borderId="25" xfId="1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19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right" vertical="center" wrapText="1"/>
      <protection hidden="1"/>
    </xf>
    <xf numFmtId="164" fontId="10" fillId="0" borderId="1" xfId="0" applyNumberFormat="1" applyFont="1" applyBorder="1" applyAlignment="1" applyProtection="1">
      <alignment horizontal="center" vertical="center"/>
      <protection hidden="1"/>
    </xf>
    <xf numFmtId="164" fontId="20" fillId="0" borderId="1" xfId="0" applyNumberFormat="1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center" vertical="center"/>
      <protection hidden="1"/>
    </xf>
    <xf numFmtId="165" fontId="6" fillId="0" borderId="1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164" fontId="10" fillId="0" borderId="0" xfId="0" applyNumberFormat="1" applyFont="1" applyAlignment="1" applyProtection="1">
      <alignment horizontal="center" vertical="center"/>
      <protection hidden="1"/>
    </xf>
    <xf numFmtId="14" fontId="10" fillId="0" borderId="0" xfId="0" applyNumberFormat="1" applyFont="1" applyProtection="1">
      <protection hidden="1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right" vertical="center"/>
      <protection hidden="1"/>
    </xf>
    <xf numFmtId="164" fontId="22" fillId="0" borderId="1" xfId="0" applyNumberFormat="1" applyFont="1" applyBorder="1" applyAlignment="1" applyProtection="1">
      <alignment horizontal="center" vertical="center"/>
      <protection hidden="1"/>
    </xf>
    <xf numFmtId="44" fontId="22" fillId="0" borderId="1" xfId="0" applyNumberFormat="1" applyFont="1" applyBorder="1" applyProtection="1">
      <protection hidden="1"/>
    </xf>
    <xf numFmtId="0" fontId="15" fillId="0" borderId="1" xfId="0" applyFont="1" applyBorder="1" applyAlignment="1" applyProtection="1">
      <alignment horizontal="right" vertical="center"/>
      <protection hidden="1"/>
    </xf>
    <xf numFmtId="164" fontId="15" fillId="2" borderId="1" xfId="0" applyNumberFormat="1" applyFont="1" applyFill="1" applyBorder="1" applyAlignment="1" applyProtection="1">
      <alignment horizontal="center" vertical="center"/>
      <protection locked="0"/>
    </xf>
    <xf numFmtId="164" fontId="20" fillId="0" borderId="0" xfId="0" applyNumberFormat="1" applyFont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right" vertical="center" wrapText="1"/>
      <protection hidden="1"/>
    </xf>
    <xf numFmtId="164" fontId="15" fillId="0" borderId="4" xfId="0" applyNumberFormat="1" applyFont="1" applyBorder="1" applyAlignment="1" applyProtection="1">
      <alignment horizontal="center" vertical="center"/>
      <protection hidden="1"/>
    </xf>
    <xf numFmtId="164" fontId="23" fillId="0" borderId="4" xfId="0" applyNumberFormat="1" applyFont="1" applyBorder="1" applyAlignment="1" applyProtection="1">
      <alignment horizontal="center" vertical="center"/>
      <protection hidden="1"/>
    </xf>
    <xf numFmtId="44" fontId="15" fillId="0" borderId="4" xfId="1" applyFont="1" applyFill="1" applyBorder="1" applyAlignment="1" applyProtection="1">
      <alignment horizontal="center" vertical="center"/>
      <protection hidden="1"/>
    </xf>
    <xf numFmtId="44" fontId="22" fillId="0" borderId="1" xfId="0" applyNumberFormat="1" applyFont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right" vertical="center" wrapText="1"/>
      <protection hidden="1"/>
    </xf>
    <xf numFmtId="164" fontId="6" fillId="0" borderId="13" xfId="0" applyNumberFormat="1" applyFont="1" applyBorder="1" applyAlignment="1" applyProtection="1">
      <alignment horizontal="center" vertical="center"/>
      <protection hidden="1"/>
    </xf>
    <xf numFmtId="164" fontId="19" fillId="0" borderId="27" xfId="0" applyNumberFormat="1" applyFont="1" applyBorder="1" applyAlignment="1" applyProtection="1">
      <alignment horizontal="center" vertical="center"/>
      <protection hidden="1"/>
    </xf>
    <xf numFmtId="44" fontId="6" fillId="0" borderId="13" xfId="1" applyFont="1" applyFill="1" applyBorder="1" applyAlignment="1" applyProtection="1">
      <alignment horizontal="center" vertical="center"/>
      <protection hidden="1"/>
    </xf>
    <xf numFmtId="164" fontId="15" fillId="0" borderId="13" xfId="0" applyNumberFormat="1" applyFont="1" applyBorder="1" applyProtection="1">
      <protection hidden="1"/>
    </xf>
    <xf numFmtId="164" fontId="24" fillId="0" borderId="29" xfId="0" applyNumberFormat="1" applyFont="1" applyBorder="1" applyAlignment="1" applyProtection="1">
      <alignment horizontal="center" vertical="center"/>
      <protection hidden="1"/>
    </xf>
    <xf numFmtId="164" fontId="15" fillId="0" borderId="29" xfId="0" applyNumberFormat="1" applyFont="1" applyBorder="1" applyAlignment="1" applyProtection="1">
      <alignment vertical="center"/>
      <protection hidden="1"/>
    </xf>
    <xf numFmtId="164" fontId="24" fillId="0" borderId="0" xfId="0" applyNumberFormat="1" applyFont="1" applyAlignment="1" applyProtection="1">
      <alignment horizontal="center" vertical="center"/>
      <protection hidden="1"/>
    </xf>
    <xf numFmtId="44" fontId="15" fillId="0" borderId="22" xfId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wrapText="1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164" fontId="19" fillId="0" borderId="0" xfId="0" applyNumberFormat="1" applyFont="1" applyAlignment="1" applyProtection="1">
      <alignment horizontal="center" vertical="center"/>
      <protection hidden="1"/>
    </xf>
    <xf numFmtId="44" fontId="6" fillId="0" borderId="0" xfId="1" applyFont="1" applyFill="1" applyBorder="1" applyAlignment="1" applyProtection="1">
      <alignment horizontal="center" vertical="center"/>
      <protection hidden="1"/>
    </xf>
    <xf numFmtId="164" fontId="24" fillId="0" borderId="24" xfId="0" applyNumberFormat="1" applyFont="1" applyBorder="1" applyAlignment="1" applyProtection="1">
      <alignment horizontal="center" vertical="center"/>
      <protection hidden="1"/>
    </xf>
    <xf numFmtId="164" fontId="24" fillId="0" borderId="30" xfId="0" applyNumberFormat="1" applyFont="1" applyBorder="1" applyAlignment="1" applyProtection="1">
      <alignment horizontal="center" vertical="center"/>
      <protection hidden="1"/>
    </xf>
    <xf numFmtId="164" fontId="15" fillId="0" borderId="30" xfId="0" applyNumberFormat="1" applyFont="1" applyBorder="1" applyProtection="1">
      <protection hidden="1"/>
    </xf>
    <xf numFmtId="164" fontId="24" fillId="0" borderId="11" xfId="0" applyNumberFormat="1" applyFont="1" applyBorder="1" applyAlignment="1" applyProtection="1">
      <alignment horizontal="center" vertical="center"/>
      <protection hidden="1"/>
    </xf>
    <xf numFmtId="164" fontId="24" fillId="0" borderId="31" xfId="0" applyNumberFormat="1" applyFont="1" applyBorder="1" applyAlignment="1" applyProtection="1">
      <alignment horizontal="center" vertical="center"/>
      <protection hidden="1"/>
    </xf>
    <xf numFmtId="164" fontId="15" fillId="0" borderId="31" xfId="0" applyNumberFormat="1" applyFont="1" applyBorder="1" applyAlignment="1" applyProtection="1">
      <alignment vertical="center"/>
      <protection hidden="1"/>
    </xf>
    <xf numFmtId="164" fontId="24" fillId="0" borderId="9" xfId="0" applyNumberFormat="1" applyFont="1" applyBorder="1" applyAlignment="1" applyProtection="1">
      <alignment horizontal="center" vertical="center"/>
      <protection hidden="1"/>
    </xf>
    <xf numFmtId="164" fontId="24" fillId="0" borderId="33" xfId="0" applyNumberFormat="1" applyFont="1" applyBorder="1" applyAlignment="1" applyProtection="1">
      <alignment horizontal="center" vertical="center"/>
      <protection hidden="1"/>
    </xf>
    <xf numFmtId="164" fontId="24" fillId="0" borderId="34" xfId="0" applyNumberFormat="1" applyFont="1" applyBorder="1" applyAlignment="1" applyProtection="1">
      <alignment horizontal="center" vertical="center"/>
      <protection hidden="1"/>
    </xf>
    <xf numFmtId="164" fontId="15" fillId="0" borderId="34" xfId="0" applyNumberFormat="1" applyFont="1" applyBorder="1" applyProtection="1">
      <protection hidden="1"/>
    </xf>
    <xf numFmtId="164" fontId="24" fillId="0" borderId="14" xfId="0" applyNumberFormat="1" applyFont="1" applyBorder="1" applyAlignment="1" applyProtection="1">
      <alignment horizontal="center" vertical="center"/>
      <protection hidden="1"/>
    </xf>
    <xf numFmtId="164" fontId="24" fillId="0" borderId="35" xfId="0" applyNumberFormat="1" applyFont="1" applyBorder="1" applyAlignment="1" applyProtection="1">
      <alignment horizontal="center" vertical="center"/>
      <protection hidden="1"/>
    </xf>
    <xf numFmtId="164" fontId="15" fillId="0" borderId="34" xfId="0" applyNumberFormat="1" applyFont="1" applyBorder="1" applyAlignment="1" applyProtection="1">
      <alignment vertical="center"/>
      <protection hidden="1"/>
    </xf>
    <xf numFmtId="0" fontId="15" fillId="0" borderId="5" xfId="0" applyFont="1" applyBorder="1" applyAlignment="1" applyProtection="1">
      <alignment horizontal="right" vertical="center"/>
      <protection hidden="1"/>
    </xf>
    <xf numFmtId="164" fontId="15" fillId="0" borderId="5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  <xf numFmtId="0" fontId="25" fillId="0" borderId="0" xfId="0" applyFont="1" applyAlignment="1" applyProtection="1">
      <alignment wrapText="1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164" fontId="25" fillId="0" borderId="0" xfId="0" applyNumberFormat="1" applyFont="1" applyProtection="1"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44" fontId="25" fillId="0" borderId="1" xfId="0" applyNumberFormat="1" applyFont="1" applyBorder="1" applyAlignment="1" applyProtection="1">
      <alignment horizontal="center" vertical="center"/>
      <protection hidden="1"/>
    </xf>
    <xf numFmtId="164" fontId="1" fillId="0" borderId="0" xfId="0" applyNumberFormat="1" applyFont="1" applyProtection="1"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44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4" fontId="1" fillId="0" borderId="0" xfId="0" applyNumberFormat="1" applyFont="1" applyProtection="1">
      <protection hidden="1"/>
    </xf>
    <xf numFmtId="165" fontId="1" fillId="0" borderId="1" xfId="1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164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right" vertical="center" wrapText="1"/>
      <protection hidden="1"/>
    </xf>
    <xf numFmtId="0" fontId="1" fillId="0" borderId="1" xfId="0" applyFont="1" applyBorder="1" applyAlignment="1" applyProtection="1">
      <alignment horizontal="right"/>
      <protection hidden="1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wrapText="1"/>
      <protection hidden="1"/>
    </xf>
    <xf numFmtId="0" fontId="1" fillId="0" borderId="1" xfId="0" applyFont="1" applyBorder="1" applyAlignment="1" applyProtection="1">
      <alignment horizontal="right" vertical="center" wrapText="1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44" fontId="1" fillId="0" borderId="0" xfId="1" applyFont="1" applyFill="1" applyBorder="1" applyProtection="1"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wrapText="1"/>
      <protection hidden="1"/>
    </xf>
    <xf numFmtId="44" fontId="1" fillId="2" borderId="1" xfId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44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8" xfId="0" applyFont="1" applyBorder="1" applyProtection="1">
      <protection hidden="1"/>
    </xf>
    <xf numFmtId="44" fontId="1" fillId="0" borderId="0" xfId="1" applyFont="1" applyFill="1" applyBorder="1" applyAlignment="1" applyProtection="1">
      <alignment horizontal="center" vertical="center"/>
      <protection hidden="1"/>
    </xf>
    <xf numFmtId="14" fontId="1" fillId="0" borderId="0" xfId="0" applyNumberFormat="1" applyFont="1" applyProtection="1"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0" xfId="0" applyFont="1" applyBorder="1" applyProtection="1">
      <protection hidden="1"/>
    </xf>
    <xf numFmtId="44" fontId="1" fillId="0" borderId="20" xfId="1" applyFont="1" applyFill="1" applyBorder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horizontal="center" vertical="center"/>
      <protection locked="0"/>
    </xf>
    <xf numFmtId="166" fontId="1" fillId="0" borderId="0" xfId="0" applyNumberFormat="1" applyFont="1" applyAlignment="1" applyProtection="1">
      <alignment horizontal="center" vertical="center"/>
      <protection locked="0"/>
    </xf>
    <xf numFmtId="166" fontId="10" fillId="0" borderId="1" xfId="0" applyNumberFormat="1" applyFont="1" applyBorder="1" applyAlignment="1">
      <alignment horizontal="center" vertical="center"/>
    </xf>
    <xf numFmtId="0" fontId="26" fillId="0" borderId="0" xfId="0" applyFont="1" applyAlignment="1" applyProtection="1">
      <alignment horizontal="right"/>
      <protection hidden="1"/>
    </xf>
    <xf numFmtId="44" fontId="1" fillId="0" borderId="0" xfId="1" applyFont="1" applyProtection="1">
      <protection hidden="1"/>
    </xf>
    <xf numFmtId="164" fontId="24" fillId="0" borderId="7" xfId="0" applyNumberFormat="1" applyFont="1" applyBorder="1" applyAlignment="1" applyProtection="1">
      <alignment horizontal="center" vertical="center"/>
      <protection hidden="1"/>
    </xf>
    <xf numFmtId="164" fontId="24" fillId="0" borderId="32" xfId="0" applyNumberFormat="1" applyFont="1" applyBorder="1" applyAlignment="1" applyProtection="1">
      <alignment horizontal="center" vertical="center"/>
      <protection hidden="1"/>
    </xf>
    <xf numFmtId="164" fontId="24" fillId="0" borderId="10" xfId="0" applyNumberFormat="1" applyFont="1" applyBorder="1" applyAlignment="1" applyProtection="1">
      <alignment horizontal="center" vertical="center"/>
      <protection hidden="1"/>
    </xf>
    <xf numFmtId="44" fontId="1" fillId="0" borderId="7" xfId="1" applyFont="1" applyBorder="1" applyProtection="1">
      <protection hidden="1"/>
    </xf>
    <xf numFmtId="44" fontId="1" fillId="0" borderId="24" xfId="1" applyFont="1" applyBorder="1" applyProtection="1">
      <protection hidden="1"/>
    </xf>
    <xf numFmtId="44" fontId="1" fillId="2" borderId="24" xfId="1" applyFont="1" applyFill="1" applyBorder="1" applyAlignment="1" applyProtection="1">
      <alignment horizontal="center" vertical="center"/>
      <protection locked="0"/>
    </xf>
    <xf numFmtId="44" fontId="1" fillId="2" borderId="35" xfId="1" applyFont="1" applyFill="1" applyBorder="1" applyAlignment="1" applyProtection="1">
      <alignment horizontal="center" vertical="center"/>
      <protection locked="0"/>
    </xf>
    <xf numFmtId="44" fontId="1" fillId="2" borderId="11" xfId="1" applyFont="1" applyFill="1" applyBorder="1" applyAlignment="1" applyProtection="1">
      <alignment horizontal="center" vertical="center"/>
      <protection locked="0"/>
    </xf>
    <xf numFmtId="0" fontId="1" fillId="0" borderId="0" xfId="0" quotePrefix="1" applyFont="1" applyAlignment="1" applyProtection="1">
      <alignment horizontal="left" vertical="center" wrapText="1"/>
      <protection hidden="1"/>
    </xf>
    <xf numFmtId="44" fontId="15" fillId="0" borderId="1" xfId="1" applyFont="1" applyFill="1" applyBorder="1" applyAlignment="1" applyProtection="1">
      <alignment horizontal="center" vertical="center"/>
      <protection hidden="1"/>
    </xf>
    <xf numFmtId="44" fontId="1" fillId="0" borderId="35" xfId="1" applyFont="1" applyBorder="1" applyProtection="1">
      <protection hidden="1"/>
    </xf>
    <xf numFmtId="44" fontId="1" fillId="0" borderId="32" xfId="1" applyFont="1" applyBorder="1" applyProtection="1">
      <protection hidden="1"/>
    </xf>
    <xf numFmtId="44" fontId="1" fillId="0" borderId="11" xfId="1" applyFont="1" applyBorder="1" applyProtection="1">
      <protection hidden="1"/>
    </xf>
    <xf numFmtId="44" fontId="1" fillId="0" borderId="10" xfId="1" applyFont="1" applyBorder="1" applyProtection="1">
      <protection hidden="1"/>
    </xf>
    <xf numFmtId="44" fontId="10" fillId="0" borderId="24" xfId="1" applyFont="1" applyBorder="1" applyAlignment="1" applyProtection="1">
      <alignment horizontal="right" vertical="center"/>
      <protection hidden="1"/>
    </xf>
    <xf numFmtId="164" fontId="15" fillId="0" borderId="24" xfId="0" applyNumberFormat="1" applyFont="1" applyBorder="1" applyProtection="1">
      <protection hidden="1"/>
    </xf>
    <xf numFmtId="44" fontId="10" fillId="0" borderId="35" xfId="1" applyFont="1" applyBorder="1" applyAlignment="1" applyProtection="1">
      <alignment horizontal="right" vertical="center"/>
      <protection hidden="1"/>
    </xf>
    <xf numFmtId="164" fontId="15" fillId="0" borderId="35" xfId="0" applyNumberFormat="1" applyFont="1" applyBorder="1" applyProtection="1">
      <protection hidden="1"/>
    </xf>
    <xf numFmtId="44" fontId="10" fillId="0" borderId="11" xfId="1" applyFont="1" applyBorder="1" applyAlignment="1" applyProtection="1">
      <alignment horizontal="right" vertical="center"/>
      <protection hidden="1"/>
    </xf>
    <xf numFmtId="164" fontId="15" fillId="0" borderId="11" xfId="0" applyNumberFormat="1" applyFont="1" applyBorder="1" applyProtection="1">
      <protection hidden="1"/>
    </xf>
    <xf numFmtId="164" fontId="6" fillId="0" borderId="13" xfId="0" applyNumberFormat="1" applyFont="1" applyBorder="1" applyAlignment="1" applyProtection="1">
      <alignment horizontal="center" vertical="center" wrapText="1"/>
      <protection hidden="1"/>
    </xf>
    <xf numFmtId="44" fontId="6" fillId="0" borderId="13" xfId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right"/>
      <protection hidden="1"/>
    </xf>
    <xf numFmtId="14" fontId="4" fillId="4" borderId="0" xfId="0" applyNumberFormat="1" applyFont="1" applyFill="1" applyAlignment="1">
      <alignment horizontal="center"/>
    </xf>
    <xf numFmtId="0" fontId="1" fillId="0" borderId="13" xfId="0" applyFont="1" applyBorder="1" applyAlignment="1" applyProtection="1">
      <alignment horizontal="right"/>
      <protection hidden="1"/>
    </xf>
    <xf numFmtId="44" fontId="1" fillId="0" borderId="13" xfId="0" applyNumberFormat="1" applyFont="1" applyBorder="1" applyProtection="1">
      <protection hidden="1"/>
    </xf>
    <xf numFmtId="164" fontId="6" fillId="0" borderId="11" xfId="0" applyNumberFormat="1" applyFont="1" applyBorder="1" applyAlignment="1" applyProtection="1">
      <alignment horizontal="center" vertical="center"/>
      <protection hidden="1"/>
    </xf>
    <xf numFmtId="164" fontId="19" fillId="0" borderId="14" xfId="0" applyNumberFormat="1" applyFont="1" applyBorder="1" applyAlignment="1" applyProtection="1">
      <alignment horizontal="center" vertical="center"/>
      <protection hidden="1"/>
    </xf>
    <xf numFmtId="164" fontId="15" fillId="0" borderId="1" xfId="0" applyNumberFormat="1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right" vertical="center" wrapText="1"/>
      <protection hidden="1"/>
    </xf>
    <xf numFmtId="0" fontId="15" fillId="0" borderId="1" xfId="0" applyFont="1" applyBorder="1" applyAlignment="1" applyProtection="1">
      <alignment horizontal="right" vertical="center" wrapText="1"/>
      <protection hidden="1"/>
    </xf>
    <xf numFmtId="44" fontId="22" fillId="0" borderId="0" xfId="0" applyNumberFormat="1" applyFont="1" applyProtection="1">
      <protection hidden="1"/>
    </xf>
    <xf numFmtId="44" fontId="6" fillId="0" borderId="1" xfId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right" vertical="center" wrapText="1"/>
      <protection hidden="1"/>
    </xf>
    <xf numFmtId="164" fontId="6" fillId="0" borderId="1" xfId="0" applyNumberFormat="1" applyFont="1" applyBorder="1" applyAlignment="1" applyProtection="1">
      <alignment horizontal="center" vertical="center"/>
      <protection hidden="1"/>
    </xf>
    <xf numFmtId="164" fontId="19" fillId="0" borderId="1" xfId="0" applyNumberFormat="1" applyFont="1" applyBorder="1" applyAlignment="1" applyProtection="1">
      <alignment horizontal="center" vertical="center"/>
      <protection hidden="1"/>
    </xf>
    <xf numFmtId="44" fontId="6" fillId="0" borderId="25" xfId="1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164" fontId="23" fillId="0" borderId="2" xfId="0" applyNumberFormat="1" applyFont="1" applyBorder="1" applyAlignment="1" applyProtection="1">
      <alignment horizontal="center" vertical="center"/>
      <protection hidden="1"/>
    </xf>
    <xf numFmtId="1" fontId="1" fillId="0" borderId="0" xfId="0" applyNumberFormat="1" applyFont="1" applyAlignment="1" applyProtection="1">
      <alignment horizontal="center"/>
      <protection hidden="1"/>
    </xf>
    <xf numFmtId="44" fontId="1" fillId="0" borderId="22" xfId="1" applyFont="1" applyBorder="1" applyProtection="1">
      <protection hidden="1"/>
    </xf>
    <xf numFmtId="44" fontId="1" fillId="0" borderId="16" xfId="1" applyFont="1" applyBorder="1" applyProtection="1">
      <protection hidden="1"/>
    </xf>
    <xf numFmtId="164" fontId="1" fillId="0" borderId="22" xfId="0" applyNumberFormat="1" applyFont="1" applyBorder="1" applyProtection="1">
      <protection hidden="1"/>
    </xf>
    <xf numFmtId="164" fontId="1" fillId="0" borderId="16" xfId="0" applyNumberFormat="1" applyFont="1" applyBorder="1" applyProtection="1">
      <protection hidden="1"/>
    </xf>
    <xf numFmtId="44" fontId="1" fillId="0" borderId="22" xfId="0" applyNumberFormat="1" applyFont="1" applyBorder="1" applyProtection="1">
      <protection hidden="1"/>
    </xf>
    <xf numFmtId="44" fontId="1" fillId="0" borderId="16" xfId="0" applyNumberFormat="1" applyFont="1" applyBorder="1" applyProtection="1">
      <protection hidden="1"/>
    </xf>
    <xf numFmtId="44" fontId="1" fillId="0" borderId="1" xfId="0" applyNumberFormat="1" applyFont="1" applyBorder="1" applyProtection="1">
      <protection hidden="1"/>
    </xf>
    <xf numFmtId="164" fontId="1" fillId="0" borderId="18" xfId="0" applyNumberFormat="1" applyFont="1" applyBorder="1" applyProtection="1">
      <protection hidden="1"/>
    </xf>
    <xf numFmtId="44" fontId="1" fillId="0" borderId="15" xfId="0" applyNumberFormat="1" applyFont="1" applyBorder="1" applyProtection="1">
      <protection hidden="1"/>
    </xf>
    <xf numFmtId="164" fontId="1" fillId="0" borderId="21" xfId="0" applyNumberFormat="1" applyFont="1" applyBorder="1" applyProtection="1">
      <protection hidden="1"/>
    </xf>
    <xf numFmtId="44" fontId="1" fillId="0" borderId="12" xfId="0" applyNumberFormat="1" applyFont="1" applyBorder="1" applyProtection="1">
      <protection hidden="1"/>
    </xf>
    <xf numFmtId="164" fontId="1" fillId="0" borderId="19" xfId="0" applyNumberFormat="1" applyFont="1" applyBorder="1" applyProtection="1">
      <protection hidden="1"/>
    </xf>
    <xf numFmtId="44" fontId="1" fillId="0" borderId="17" xfId="0" applyNumberFormat="1" applyFont="1" applyBorder="1" applyProtection="1">
      <protection hidden="1"/>
    </xf>
    <xf numFmtId="164" fontId="1" fillId="0" borderId="4" xfId="0" applyNumberFormat="1" applyFont="1" applyBorder="1" applyProtection="1">
      <protection hidden="1"/>
    </xf>
    <xf numFmtId="1" fontId="1" fillId="0" borderId="4" xfId="0" applyNumberFormat="1" applyFont="1" applyBorder="1" applyAlignment="1" applyProtection="1">
      <alignment horizontal="center"/>
      <protection hidden="1"/>
    </xf>
    <xf numFmtId="1" fontId="1" fillId="0" borderId="22" xfId="0" applyNumberFormat="1" applyFont="1" applyBorder="1" applyAlignment="1" applyProtection="1">
      <alignment horizontal="center"/>
      <protection hidden="1"/>
    </xf>
    <xf numFmtId="1" fontId="1" fillId="0" borderId="16" xfId="0" applyNumberFormat="1" applyFont="1" applyBorder="1" applyAlignment="1" applyProtection="1">
      <alignment horizontal="center"/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44" fontId="1" fillId="0" borderId="4" xfId="1" applyFont="1" applyBorder="1" applyProtection="1">
      <protection hidden="1"/>
    </xf>
    <xf numFmtId="164" fontId="27" fillId="0" borderId="1" xfId="0" applyNumberFormat="1" applyFont="1" applyBorder="1" applyAlignment="1" applyProtection="1">
      <alignment horizontal="center" vertical="center"/>
      <protection hidden="1"/>
    </xf>
    <xf numFmtId="44" fontId="1" fillId="0" borderId="1" xfId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 vertical="center"/>
      <protection hidden="1"/>
    </xf>
    <xf numFmtId="165" fontId="15" fillId="2" borderId="1" xfId="0" applyNumberFormat="1" applyFont="1" applyFill="1" applyBorder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166" fontId="10" fillId="0" borderId="1" xfId="0" applyNumberFormat="1" applyFont="1" applyBorder="1" applyAlignment="1" applyProtection="1">
      <alignment horizontal="center" vertical="center"/>
      <protection hidden="1"/>
    </xf>
    <xf numFmtId="166" fontId="1" fillId="0" borderId="0" xfId="0" applyNumberFormat="1" applyFont="1" applyAlignment="1" applyProtection="1">
      <alignment horizontal="center" vertical="center"/>
      <protection hidden="1"/>
    </xf>
    <xf numFmtId="14" fontId="1" fillId="2" borderId="1" xfId="0" applyNumberFormat="1" applyFont="1" applyFill="1" applyBorder="1" applyAlignment="1" applyProtection="1">
      <alignment horizontal="center"/>
      <protection hidden="1"/>
    </xf>
    <xf numFmtId="14" fontId="4" fillId="4" borderId="0" xfId="0" applyNumberFormat="1" applyFont="1" applyFill="1" applyAlignment="1" applyProtection="1">
      <alignment horizontal="center"/>
      <protection hidden="1"/>
    </xf>
    <xf numFmtId="44" fontId="1" fillId="2" borderId="24" xfId="1" applyFont="1" applyFill="1" applyBorder="1" applyAlignment="1" applyProtection="1">
      <alignment horizontal="center" vertical="center"/>
      <protection hidden="1"/>
    </xf>
    <xf numFmtId="44" fontId="1" fillId="2" borderId="35" xfId="1" applyFont="1" applyFill="1" applyBorder="1" applyAlignment="1" applyProtection="1">
      <alignment horizontal="center" vertical="center"/>
      <protection hidden="1"/>
    </xf>
    <xf numFmtId="44" fontId="1" fillId="2" borderId="11" xfId="1" applyFont="1" applyFill="1" applyBorder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Alignment="1" applyProtection="1">
      <alignment horizontal="center" vertical="center"/>
      <protection hidden="1"/>
    </xf>
    <xf numFmtId="164" fontId="20" fillId="2" borderId="1" xfId="0" applyNumberFormat="1" applyFont="1" applyFill="1" applyBorder="1" applyAlignment="1" applyProtection="1">
      <alignment horizontal="center" vertical="center"/>
      <protection hidden="1"/>
    </xf>
    <xf numFmtId="44" fontId="1" fillId="2" borderId="1" xfId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164" fontId="15" fillId="2" borderId="1" xfId="0" applyNumberFormat="1" applyFont="1" applyFill="1" applyBorder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left" vertical="center"/>
      <protection hidden="1"/>
    </xf>
    <xf numFmtId="0" fontId="16" fillId="0" borderId="21" xfId="0" applyFont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15" fillId="0" borderId="32" xfId="0" applyFont="1" applyBorder="1" applyAlignment="1" applyProtection="1">
      <alignment horizontal="right"/>
      <protection hidden="1"/>
    </xf>
    <xf numFmtId="0" fontId="15" fillId="0" borderId="33" xfId="0" applyFont="1" applyBorder="1" applyAlignment="1" applyProtection="1">
      <alignment horizontal="right"/>
      <protection hidden="1"/>
    </xf>
    <xf numFmtId="0" fontId="15" fillId="0" borderId="10" xfId="0" applyFont="1" applyBorder="1" applyAlignment="1" applyProtection="1">
      <alignment horizontal="right"/>
      <protection hidden="1"/>
    </xf>
    <xf numFmtId="0" fontId="15" fillId="0" borderId="14" xfId="0" applyFont="1" applyBorder="1" applyAlignment="1" applyProtection="1">
      <alignment horizontal="right"/>
      <protection hidden="1"/>
    </xf>
    <xf numFmtId="0" fontId="6" fillId="3" borderId="25" xfId="0" applyFont="1" applyFill="1" applyBorder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right" vertical="center" wrapText="1"/>
      <protection hidden="1"/>
    </xf>
    <xf numFmtId="0" fontId="1" fillId="0" borderId="3" xfId="0" applyFont="1" applyBorder="1" applyAlignment="1" applyProtection="1">
      <alignment horizontal="right" vertical="center" wrapText="1"/>
      <protection hidden="1"/>
    </xf>
    <xf numFmtId="0" fontId="15" fillId="0" borderId="2" xfId="0" applyFont="1" applyBorder="1" applyAlignment="1" applyProtection="1">
      <alignment horizontal="left" vertical="center"/>
      <protection hidden="1"/>
    </xf>
    <xf numFmtId="0" fontId="15" fillId="0" borderId="5" xfId="0" applyFont="1" applyBorder="1" applyAlignment="1" applyProtection="1">
      <alignment horizontal="left" vertical="center"/>
      <protection hidden="1"/>
    </xf>
    <xf numFmtId="0" fontId="15" fillId="0" borderId="3" xfId="0" applyFont="1" applyBorder="1" applyAlignment="1" applyProtection="1">
      <alignment horizontal="left" vertical="center"/>
      <protection hidden="1"/>
    </xf>
    <xf numFmtId="0" fontId="15" fillId="0" borderId="7" xfId="0" applyFont="1" applyBorder="1" applyAlignment="1" applyProtection="1">
      <alignment horizontal="right"/>
      <protection hidden="1"/>
    </xf>
    <xf numFmtId="0" fontId="15" fillId="0" borderId="9" xfId="0" applyFont="1" applyBorder="1" applyAlignment="1" applyProtection="1">
      <alignment horizontal="right"/>
      <protection hidden="1"/>
    </xf>
    <xf numFmtId="0" fontId="1" fillId="0" borderId="2" xfId="0" applyFont="1" applyBorder="1" applyAlignment="1" applyProtection="1">
      <alignment horizontal="right" vertical="center"/>
      <protection hidden="1"/>
    </xf>
    <xf numFmtId="0" fontId="1" fillId="0" borderId="3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left" vertical="center"/>
      <protection locked="0"/>
    </xf>
    <xf numFmtId="0" fontId="28" fillId="0" borderId="1" xfId="0" applyFont="1" applyBorder="1" applyAlignment="1" applyProtection="1">
      <alignment horizontal="right" vertical="center" wrapText="1"/>
      <protection hidden="1"/>
    </xf>
    <xf numFmtId="0" fontId="15" fillId="0" borderId="6" xfId="0" applyFont="1" applyBorder="1" applyAlignment="1" applyProtection="1">
      <alignment horizontal="right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5" fillId="0" borderId="26" xfId="0" applyFont="1" applyBorder="1" applyAlignment="1" applyProtection="1">
      <alignment horizontal="right"/>
      <protection hidden="1"/>
    </xf>
    <xf numFmtId="0" fontId="15" fillId="0" borderId="28" xfId="0" applyFont="1" applyBorder="1" applyAlignment="1" applyProtection="1">
      <alignment horizontal="right"/>
      <protection hidden="1"/>
    </xf>
    <xf numFmtId="0" fontId="15" fillId="0" borderId="8" xfId="0" applyFont="1" applyBorder="1" applyAlignment="1" applyProtection="1">
      <alignment horizontal="right"/>
      <protection hidden="1"/>
    </xf>
    <xf numFmtId="0" fontId="18" fillId="0" borderId="1" xfId="0" applyFont="1" applyBorder="1" applyAlignment="1" applyProtection="1">
      <alignment horizontal="right" vertical="center" wrapText="1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18" fillId="0" borderId="1" xfId="0" applyFont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8" fillId="0" borderId="18" xfId="0" applyFont="1" applyBorder="1" applyAlignment="1" applyProtection="1">
      <alignment horizontal="center" vertical="center"/>
      <protection hidden="1"/>
    </xf>
    <xf numFmtId="0" fontId="18" fillId="0" borderId="21" xfId="0" applyFont="1" applyBorder="1" applyAlignment="1" applyProtection="1">
      <alignment horizontal="center" vertical="center"/>
      <protection hidden="1"/>
    </xf>
    <xf numFmtId="0" fontId="18" fillId="0" borderId="19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right"/>
      <protection hidden="1"/>
    </xf>
    <xf numFmtId="0" fontId="17" fillId="0" borderId="1" xfId="0" applyFont="1" applyBorder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center"/>
      <protection hidden="1"/>
    </xf>
  </cellXfs>
  <cellStyles count="3">
    <cellStyle name="Monétaire" xfId="1" builtinId="4"/>
    <cellStyle name="Normal" xfId="0" builtinId="0"/>
    <cellStyle name="Normal 2" xfId="2" xr:uid="{544D4CFC-2FD1-438A-B03F-3D652031FE65}"/>
  </cellStyles>
  <dxfs count="218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>
          <bgColor rgb="FFFF0000"/>
        </patternFill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>
          <bgColor rgb="FFFF0000"/>
        </patternFill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  <vertical/>
        <horizontal/>
      </border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  <dxf>
      <fill>
        <patternFill patternType="darkDown"/>
      </fill>
    </dxf>
  </dxfs>
  <tableStyles count="0" defaultTableStyle="TableStyleMedium2" defaultPivotStyle="PivotStyleLight16"/>
  <colors>
    <mruColors>
      <color rgb="FFF15C5A"/>
      <color rgb="FFCCFFCC"/>
      <color rgb="FF009999"/>
      <color rgb="FF66FF66"/>
      <color rgb="FF9A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546101</xdr:colOff>
      <xdr:row>0</xdr:row>
      <xdr:rowOff>0</xdr:rowOff>
    </xdr:from>
    <xdr:to>
      <xdr:col>2</xdr:col>
      <xdr:colOff>1195653</xdr:colOff>
      <xdr:row>1</xdr:row>
      <xdr:rowOff>161925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C8EE464-4290-4C25-B7DC-370104E3372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00101" y="0"/>
          <a:ext cx="649552" cy="5958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66675</xdr:rowOff>
    </xdr:from>
    <xdr:to>
      <xdr:col>2</xdr:col>
      <xdr:colOff>1335352</xdr:colOff>
      <xdr:row>1</xdr:row>
      <xdr:rowOff>196883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868839E-8536-4CBE-8751-E92182B117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942975" y="66675"/>
          <a:ext cx="649552" cy="568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0</xdr:row>
      <xdr:rowOff>0</xdr:rowOff>
    </xdr:from>
    <xdr:to>
      <xdr:col>2</xdr:col>
      <xdr:colOff>1449652</xdr:colOff>
      <xdr:row>1</xdr:row>
      <xdr:rowOff>161925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FD81528-5ABA-40DA-B6A0-A0826A0D7E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1057275" y="0"/>
          <a:ext cx="649552" cy="600075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2</xdr:row>
      <xdr:rowOff>57150</xdr:rowOff>
    </xdr:from>
    <xdr:to>
      <xdr:col>17</xdr:col>
      <xdr:colOff>304800</xdr:colOff>
      <xdr:row>18</xdr:row>
      <xdr:rowOff>685799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3F510FCA-CD16-43F6-A5D0-89D135C6B4F9}"/>
            </a:ext>
          </a:extLst>
        </xdr:cNvPr>
        <xdr:cNvSpPr txBox="1"/>
      </xdr:nvSpPr>
      <xdr:spPr>
        <a:xfrm>
          <a:off x="9105900" y="695325"/>
          <a:ext cx="7372350" cy="325754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Données de l'exemple :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Horaire : 10 heures par jour (lundi, mardi, jeudi, vendredi)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Contrat : 52 semaines programmées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Mensualisation : 10 x 4 x 52/12 x 4 € = 693,33 €   / avenant au 1er janvier 2025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salaire mensuel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750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Début du contrat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01/09/2022</a:t>
          </a: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Taux horaire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4 € brut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jours pour des enfants de moins de 15 ans</a:t>
          </a:r>
        </a:p>
        <a:p>
          <a:endParaRPr lang="fr-F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Congés pris :</a:t>
          </a:r>
          <a:endParaRPr lang="fr-F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Décembre 2022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6 jours sans solde</a:t>
          </a: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Août 2023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23 jours / Décembre 2023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 jour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le reste sans solde</a:t>
          </a: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Août 2024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23 jours / Décembre 2024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5 jours / Mars 2025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 jours</a:t>
          </a:r>
        </a:p>
        <a:p>
          <a:endParaRPr lang="fr-F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cet exemple, on fait le point sur les congés payés au 31/05/2025.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notre exemple, le 10% est plus intéressant ; l'assistante maternelle doit donc percevoir un complément de 40,24 €.</a:t>
          </a:r>
        </a:p>
        <a:p>
          <a:endParaRPr lang="fr-FR" sz="11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685800</xdr:colOff>
      <xdr:row>0</xdr:row>
      <xdr:rowOff>66675</xdr:rowOff>
    </xdr:from>
    <xdr:to>
      <xdr:col>2</xdr:col>
      <xdr:colOff>1335352</xdr:colOff>
      <xdr:row>1</xdr:row>
      <xdr:rowOff>196883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3551B94-76E8-43EF-833A-76E8331A67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942975" y="66675"/>
          <a:ext cx="649552" cy="568358"/>
        </a:xfrm>
        <a:prstGeom prst="rect">
          <a:avLst/>
        </a:prstGeom>
      </xdr:spPr>
    </xdr:pic>
    <xdr:clientData/>
  </xdr:twoCellAnchor>
  <xdr:twoCellAnchor>
    <xdr:from>
      <xdr:col>8</xdr:col>
      <xdr:colOff>247650</xdr:colOff>
      <xdr:row>3</xdr:row>
      <xdr:rowOff>19050</xdr:rowOff>
    </xdr:from>
    <xdr:to>
      <xdr:col>17</xdr:col>
      <xdr:colOff>238124</xdr:colOff>
      <xdr:row>20</xdr:row>
      <xdr:rowOff>323849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E250C59-1F24-427F-80E2-8E65121F7507}"/>
            </a:ext>
          </a:extLst>
        </xdr:cNvPr>
        <xdr:cNvSpPr txBox="1"/>
      </xdr:nvSpPr>
      <xdr:spPr>
        <a:xfrm>
          <a:off x="10668000" y="838200"/>
          <a:ext cx="7258049" cy="324802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Données de l'exemple :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>
            <a:effectLst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Horaire : 10 heures par jour (lundi, mardi, jeudi, vendredi)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Contrat : 52 semaines programmées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Mensualisation : 10 x 4 x 52/12 x 4 € = 693,33 €   / avenant au 1er janvier 2025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salaire mensuel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750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€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Début du contrat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01/09/2022</a:t>
          </a:r>
          <a:endParaRPr lang="fr-FR">
            <a:effectLst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Taux horaire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4 € brut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jours pour des enfants de moins de 15 ans</a:t>
          </a:r>
          <a:endParaRPr lang="fr-FR">
            <a:effectLst/>
          </a:endParaRPr>
        </a:p>
        <a:p>
          <a:endParaRPr lang="fr-FR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Congés pris :</a:t>
          </a:r>
          <a:endParaRPr lang="fr-FR">
            <a:effectLst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Décembre 2022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6 jours sans solde</a:t>
          </a:r>
          <a:endParaRPr lang="fr-FR">
            <a:effectLst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Août 2023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23 jours / Décembre 2023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1 jour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le reste sans solde</a:t>
          </a:r>
          <a:endParaRPr lang="fr-FR">
            <a:effectLst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Août 2024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23 jours / Décembre 2024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5 jours / Mars 2025 </a:t>
          </a:r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2 jours</a:t>
          </a:r>
          <a:endParaRPr lang="fr-FR">
            <a:effectLst/>
          </a:endParaRPr>
        </a:p>
        <a:p>
          <a:endParaRPr lang="fr-F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cet exemple, le</a:t>
          </a:r>
          <a:r>
            <a:rPr lang="fr-F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contrat se termine le </a:t>
          </a:r>
          <a:r>
            <a:rPr lang="fr-F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31/07/2025. </a:t>
          </a:r>
          <a:b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fr-FR">
            <a:effectLst/>
          </a:endParaRPr>
        </a:p>
        <a:p>
          <a:r>
            <a:rPr lang="fr-F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Dans notre exemple, le 10% est plus intéressant ; l'assistante maternelle doit donc percevoir un complément de 40,24 €.</a:t>
          </a:r>
          <a:endParaRPr lang="fr-FR">
            <a:effectLst/>
          </a:endParaRPr>
        </a:p>
        <a:p>
          <a:endParaRPr lang="fr-FR" sz="1100" baseline="0"/>
        </a:p>
      </xdr:txBody>
    </xdr:sp>
    <xdr:clientData/>
  </xdr:twoCellAnchor>
  <xdr:twoCellAnchor editAs="oneCell">
    <xdr:from>
      <xdr:col>2</xdr:col>
      <xdr:colOff>685800</xdr:colOff>
      <xdr:row>0</xdr:row>
      <xdr:rowOff>66675</xdr:rowOff>
    </xdr:from>
    <xdr:to>
      <xdr:col>2</xdr:col>
      <xdr:colOff>1335352</xdr:colOff>
      <xdr:row>1</xdr:row>
      <xdr:rowOff>196883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6473DE7-48A2-4376-8394-1F7F7B1A11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942975" y="66675"/>
          <a:ext cx="649552" cy="568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5E31-0FC4-47EA-B848-C04612430CF5}">
  <sheetPr>
    <tabColor rgb="FF66FF66"/>
    <pageSetUpPr fitToPage="1"/>
  </sheetPr>
  <dimension ref="A1:CZ219"/>
  <sheetViews>
    <sheetView showGridLines="0" tabSelected="1" topLeftCell="B1" zoomScale="90" zoomScaleNormal="90" workbookViewId="0">
      <selection activeCell="H8" sqref="H8"/>
    </sheetView>
  </sheetViews>
  <sheetFormatPr baseColWidth="10" defaultRowHeight="14.25" x14ac:dyDescent="0.2"/>
  <cols>
    <col min="1" max="1" width="10.140625" style="77" hidden="1" customWidth="1"/>
    <col min="2" max="2" width="3.85546875" style="6" customWidth="1"/>
    <col min="3" max="3" width="34.140625" style="77" customWidth="1"/>
    <col min="4" max="4" width="15.85546875" style="77" customWidth="1"/>
    <col min="5" max="5" width="12.85546875" style="77" customWidth="1"/>
    <col min="6" max="6" width="13.140625" style="77" customWidth="1"/>
    <col min="7" max="7" width="16.42578125" style="77" customWidth="1"/>
    <col min="8" max="8" width="15.28515625" style="77" customWidth="1"/>
    <col min="9" max="9" width="4.85546875" style="77" customWidth="1"/>
    <col min="10" max="10" width="18.42578125" style="77" bestFit="1" customWidth="1"/>
    <col min="11" max="11" width="40.85546875" style="77" customWidth="1"/>
    <col min="12" max="12" width="4.42578125" style="77" customWidth="1"/>
    <col min="13" max="13" width="18.28515625" style="77" customWidth="1"/>
    <col min="14" max="15" width="11.42578125" style="77"/>
    <col min="16" max="16" width="15.42578125" style="77" customWidth="1"/>
    <col min="17" max="46" width="5.42578125" style="77" customWidth="1"/>
    <col min="47" max="47" width="4" style="77" hidden="1" customWidth="1"/>
    <col min="48" max="48" width="11.42578125" style="77" hidden="1" customWidth="1"/>
    <col min="49" max="66" width="11.140625" style="77" hidden="1" customWidth="1"/>
    <col min="67" max="100" width="20.7109375" style="77" hidden="1" customWidth="1"/>
    <col min="101" max="104" width="20.7109375" style="77" customWidth="1"/>
    <col min="105" max="106" width="11.42578125" style="77" customWidth="1"/>
    <col min="107" max="16384" width="11.42578125" style="77"/>
  </cols>
  <sheetData>
    <row r="1" spans="2:96" ht="34.5" customHeight="1" x14ac:dyDescent="0.2">
      <c r="C1" s="225" t="s">
        <v>183</v>
      </c>
      <c r="D1" s="225"/>
      <c r="E1" s="225"/>
      <c r="F1" s="225"/>
      <c r="G1" s="225"/>
      <c r="H1" s="225"/>
      <c r="I1" s="225"/>
      <c r="J1" s="225"/>
      <c r="K1" s="225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9"/>
      <c r="CK1" s="79"/>
      <c r="CL1" s="79"/>
      <c r="CM1" s="79"/>
      <c r="CN1" s="80"/>
      <c r="CO1" s="81"/>
      <c r="CP1" s="81"/>
      <c r="CQ1" s="81"/>
      <c r="CR1" s="81"/>
    </row>
    <row r="2" spans="2:96" ht="15.75" x14ac:dyDescent="0.25">
      <c r="C2" s="226" t="s">
        <v>98</v>
      </c>
      <c r="D2" s="226"/>
      <c r="E2" s="226"/>
      <c r="F2" s="226"/>
      <c r="G2" s="226"/>
      <c r="H2" s="226"/>
      <c r="I2" s="226"/>
      <c r="J2" s="11" t="s">
        <v>12</v>
      </c>
      <c r="K2" s="12" t="s">
        <v>3</v>
      </c>
      <c r="L2" s="13" t="s">
        <v>13</v>
      </c>
      <c r="CL2" s="5"/>
      <c r="CM2" s="83"/>
      <c r="CP2" s="84"/>
      <c r="CQ2" s="84"/>
    </row>
    <row r="3" spans="2:96" x14ac:dyDescent="0.2">
      <c r="J3" s="124"/>
      <c r="K3" s="78"/>
      <c r="CJ3" s="5"/>
      <c r="CK3" s="83"/>
      <c r="CL3" s="5"/>
      <c r="CM3" s="83"/>
      <c r="CP3" s="84"/>
      <c r="CQ3" s="84"/>
      <c r="CR3" s="84"/>
    </row>
    <row r="4" spans="2:96" s="8" customFormat="1" ht="12.75" x14ac:dyDescent="0.2">
      <c r="B4" s="6"/>
      <c r="C4" s="14" t="s">
        <v>16</v>
      </c>
      <c r="D4" s="227"/>
      <c r="E4" s="227"/>
      <c r="F4" s="227"/>
      <c r="G4" s="227"/>
      <c r="CJ4" s="5"/>
      <c r="CK4" s="13"/>
      <c r="CL4" s="5"/>
      <c r="CM4" s="13"/>
      <c r="CP4" s="87"/>
      <c r="CQ4" s="87"/>
      <c r="CR4" s="87"/>
    </row>
    <row r="5" spans="2:96" s="8" customFormat="1" ht="12.75" x14ac:dyDescent="0.2">
      <c r="B5" s="6"/>
      <c r="C5" s="3"/>
      <c r="D5" s="90"/>
      <c r="E5" s="90"/>
      <c r="F5" s="90"/>
      <c r="G5" s="90"/>
      <c r="CJ5" s="5"/>
      <c r="CK5" s="13"/>
      <c r="CL5" s="5"/>
      <c r="CM5" s="13"/>
      <c r="CP5" s="87"/>
      <c r="CQ5" s="87"/>
      <c r="CR5" s="87"/>
    </row>
    <row r="6" spans="2:96" s="8" customFormat="1" ht="12.75" x14ac:dyDescent="0.2">
      <c r="B6" s="6"/>
      <c r="C6" s="14" t="s">
        <v>19</v>
      </c>
      <c r="D6" s="227"/>
      <c r="E6" s="227"/>
      <c r="F6" s="227"/>
      <c r="G6" s="227"/>
      <c r="CJ6" s="5"/>
      <c r="CK6" s="13"/>
      <c r="CL6" s="5"/>
      <c r="CM6" s="13"/>
      <c r="CP6" s="87"/>
      <c r="CQ6" s="87"/>
      <c r="CR6" s="87"/>
    </row>
    <row r="7" spans="2:96" s="8" customFormat="1" ht="12.75" x14ac:dyDescent="0.2">
      <c r="B7" s="6"/>
      <c r="CJ7" s="5"/>
      <c r="CK7" s="13"/>
      <c r="CL7" s="5"/>
      <c r="CM7" s="13"/>
      <c r="CN7" s="91"/>
      <c r="CO7" s="87"/>
      <c r="CP7" s="87"/>
      <c r="CQ7" s="87"/>
      <c r="CR7" s="87"/>
    </row>
    <row r="8" spans="2:96" s="8" customFormat="1" ht="12.75" x14ac:dyDescent="0.2">
      <c r="B8" s="6"/>
      <c r="E8" s="15"/>
    </row>
    <row r="9" spans="2:96" s="8" customFormat="1" ht="12.75" x14ac:dyDescent="0.2">
      <c r="B9" s="6"/>
      <c r="C9" s="223" t="str">
        <f>+IF(K2="BRUT","Mensualisation dans le contrat en BRUT :","Mensualisation dans le contrat en NET :")</f>
        <v>Mensualisation dans le contrat en BRUT :</v>
      </c>
      <c r="D9" s="224"/>
      <c r="E9" s="16"/>
      <c r="F9" s="121"/>
    </row>
    <row r="10" spans="2:96" s="8" customFormat="1" ht="12.75" x14ac:dyDescent="0.2">
      <c r="B10" s="6"/>
      <c r="C10" s="7"/>
      <c r="D10" s="93"/>
      <c r="E10" s="93"/>
    </row>
    <row r="11" spans="2:96" s="8" customFormat="1" ht="12.75" x14ac:dyDescent="0.2">
      <c r="B11" s="6"/>
      <c r="C11" s="223" t="s">
        <v>25</v>
      </c>
      <c r="D11" s="224"/>
      <c r="E11" s="123">
        <v>52</v>
      </c>
      <c r="F11" s="122"/>
    </row>
    <row r="12" spans="2:96" s="8" customFormat="1" ht="12.75" x14ac:dyDescent="0.2">
      <c r="B12" s="6"/>
    </row>
    <row r="13" spans="2:96" s="8" customFormat="1" ht="26.25" customHeight="1" x14ac:dyDescent="0.2">
      <c r="B13" s="6"/>
      <c r="C13" s="216" t="s">
        <v>28</v>
      </c>
      <c r="D13" s="217"/>
      <c r="E13" s="92">
        <f>+ROUND(E9*12/E11,2)</f>
        <v>0</v>
      </c>
      <c r="F13" s="218" t="str">
        <f>+"Détail : "&amp;E9&amp;" € X 12 mois / "&amp;E11&amp;" sem"</f>
        <v>Détail :  € X 12 mois / 52 sem</v>
      </c>
      <c r="G13" s="219"/>
      <c r="H13" s="220"/>
    </row>
    <row r="14" spans="2:96" s="8" customFormat="1" ht="12.75" x14ac:dyDescent="0.2">
      <c r="B14" s="6"/>
    </row>
    <row r="15" spans="2:96" s="8" customFormat="1" ht="12.75" x14ac:dyDescent="0.2">
      <c r="B15" s="6"/>
      <c r="C15" s="96" t="s">
        <v>31</v>
      </c>
      <c r="D15" s="97"/>
      <c r="E15" s="8" t="s">
        <v>32</v>
      </c>
    </row>
    <row r="16" spans="2:96" s="8" customFormat="1" ht="12.75" x14ac:dyDescent="0.2">
      <c r="B16" s="6"/>
      <c r="F16" s="17"/>
      <c r="G16" s="17"/>
      <c r="H16" s="17"/>
    </row>
    <row r="17" spans="1:90" s="8" customFormat="1" ht="12.75" hidden="1" x14ac:dyDescent="0.2">
      <c r="B17" s="6"/>
      <c r="C17" s="149" t="s">
        <v>35</v>
      </c>
      <c r="D17" s="150">
        <f>IF(MONTH(D15)&lt;=5,DATE(YEAR(D15)+5,5,31),DATE(YEAR(D15)+6,5,31))</f>
        <v>1978</v>
      </c>
      <c r="E17" s="148" t="s">
        <v>32</v>
      </c>
    </row>
    <row r="18" spans="1:90" s="8" customFormat="1" ht="13.5" thickBot="1" x14ac:dyDescent="0.25">
      <c r="B18" s="6"/>
    </row>
    <row r="19" spans="1:90" s="8" customFormat="1" ht="63.75" customHeight="1" thickBot="1" x14ac:dyDescent="0.25">
      <c r="A19" s="36"/>
      <c r="B19" s="1"/>
      <c r="C19" s="58"/>
      <c r="D19" s="59"/>
      <c r="E19" s="50" t="s">
        <v>91</v>
      </c>
      <c r="F19" s="146" t="s">
        <v>92</v>
      </c>
      <c r="G19" s="146" t="s">
        <v>95</v>
      </c>
      <c r="H19" s="146" t="s">
        <v>96</v>
      </c>
      <c r="J19" s="147" t="s">
        <v>93</v>
      </c>
      <c r="K19" s="114"/>
      <c r="L19" s="2"/>
    </row>
    <row r="20" spans="1:90" s="8" customFormat="1" ht="13.5" customHeight="1" x14ac:dyDescent="0.2">
      <c r="A20" s="36"/>
      <c r="B20" s="1"/>
      <c r="C20" s="221" t="str">
        <f>+"Pris (congés acquis : "&amp;PROPER(+TEXT(D15,"mmmm"))&amp;" "&amp;YEAR(D15)&amp;" à "&amp;IF(D17&gt;=B42,C42,PROPER(+TEXT(D17,"mmmm"))&amp;" "&amp;YEAR(D17))&amp;") :"</f>
        <v>Pris (congés acquis : Janvier 1900 à Mai 1905) :</v>
      </c>
      <c r="D20" s="222"/>
      <c r="E20" s="126">
        <f>+MIN(E45+E63+E81+E99+E117+E136,D45)</f>
        <v>0</v>
      </c>
      <c r="F20" s="130">
        <f>+AY44+AY62+AY80+AY98+AY116+AY134</f>
        <v>0</v>
      </c>
      <c r="G20" s="129">
        <f>+IF(J20&gt;F20,ROUND(J20-F20,2),0)</f>
        <v>0</v>
      </c>
      <c r="H20" s="131"/>
      <c r="I20" s="87"/>
      <c r="J20" s="140">
        <f>IF(E20&gt;=1,ROUND(J45/(D45-D44)*0.1*E20,2),0)</f>
        <v>0</v>
      </c>
      <c r="K20" s="141" t="str">
        <f>IF(E20&gt;=1,"Montant jours pris en 10% : "&amp;E20&amp;" jrs X "&amp;ROUND(J46/(D45-D44)*0.1,2)&amp;" €","")</f>
        <v/>
      </c>
      <c r="N20" s="13"/>
      <c r="O20" s="13"/>
      <c r="P20" s="13"/>
    </row>
    <row r="21" spans="1:90" s="8" customFormat="1" ht="13.5" customHeight="1" x14ac:dyDescent="0.2">
      <c r="A21" s="36"/>
      <c r="B21" s="1"/>
      <c r="C21" s="210" t="e">
        <f>+"Pris (congés acquis : "&amp;PROPER(+TEXT(B49,"mmmm"))&amp;" "&amp;YEAR(B49)&amp;" à "&amp;IF(D17&gt;=B60,C60,PROPER(+TEXT(D17,"mmmm"))&amp;" "&amp;YEAR(D17))&amp;") :"</f>
        <v>#VALUE!</v>
      </c>
      <c r="D21" s="211"/>
      <c r="E21" s="127">
        <f>+MIN(E63+E81+E45-E20+E99+E117+E136,D63)</f>
        <v>0</v>
      </c>
      <c r="F21" s="136">
        <f>+BB44+BB62+BB80+BB98+BB116+BB134</f>
        <v>0</v>
      </c>
      <c r="G21" s="137">
        <f t="shared" ref="G21:G25" si="0">+IF(J21&gt;F21,ROUND(J21-F21,2),0)</f>
        <v>0</v>
      </c>
      <c r="H21" s="132"/>
      <c r="I21" s="87"/>
      <c r="J21" s="142">
        <f>IF(E21&gt;=1,ROUND(J63/(D63-D62)*0.1*E21,2),0)</f>
        <v>0</v>
      </c>
      <c r="K21" s="143" t="str">
        <f>IF(E21&gt;=1,"Montant jours pris en 10% : "&amp;E21&amp;" jrs X "&amp;ROUND(J63/(D63-D62)*0.1*E21,2)&amp;" €","")</f>
        <v/>
      </c>
      <c r="N21" s="13"/>
      <c r="O21" s="13"/>
      <c r="P21" s="13"/>
    </row>
    <row r="22" spans="1:90" s="8" customFormat="1" ht="13.5" customHeight="1" x14ac:dyDescent="0.2">
      <c r="A22" s="36"/>
      <c r="B22" s="1"/>
      <c r="C22" s="210" t="e">
        <f>+"Pris (congés acquis : "&amp;PROPER(+TEXT(B67,"mmmm"))&amp;" "&amp;YEAR(B67)&amp;" à "&amp;IF(D17&gt;=B78,C78,PROPER(+TEXT(D17,"mmmm"))&amp;" "&amp;YEAR(D17))&amp;") :"</f>
        <v>#VALUE!</v>
      </c>
      <c r="D22" s="211"/>
      <c r="E22" s="127">
        <f>+MIN(E63+E81+E45+E99+E117+E136-E20-E21,D81)</f>
        <v>0</v>
      </c>
      <c r="F22" s="136">
        <f>+BE44+BE62+BE80+BE98+BE116+BE134</f>
        <v>0</v>
      </c>
      <c r="G22" s="137">
        <f t="shared" si="0"/>
        <v>0</v>
      </c>
      <c r="H22" s="132"/>
      <c r="I22" s="87"/>
      <c r="J22" s="142">
        <f>IF(E22&gt;1,ROUND(J81/(D81-D80)*0.1*E22,2),0)</f>
        <v>0</v>
      </c>
      <c r="K22" s="143" t="str">
        <f>IF(E22&gt;=1,"Montant jours pris en 10% : "&amp;E22&amp;" jrs X "&amp;ROUND(J81/(D81-D80)*0.1*E22,2)&amp;" €","")</f>
        <v/>
      </c>
      <c r="N22" s="13"/>
      <c r="O22" s="13"/>
      <c r="P22" s="13"/>
    </row>
    <row r="23" spans="1:90" s="8" customFormat="1" ht="13.5" customHeight="1" x14ac:dyDescent="0.2">
      <c r="A23" s="36"/>
      <c r="B23" s="1"/>
      <c r="C23" s="210" t="e">
        <f>+"Pris (congés acquis :"&amp;PROPER(+TEXT(B85,"mmmm"))&amp;" "&amp;YEAR(B85)&amp;" à "&amp;IF(D17&gt;=B96,C96,PROPER(+TEXT(D17,"mmmm"))&amp;" "&amp;YEAR(D17))&amp;") :"</f>
        <v>#VALUE!</v>
      </c>
      <c r="D23" s="211"/>
      <c r="E23" s="127">
        <f>+MIN(E63+E81+E45+E99+E117+E136-E20-E21-E22,D99)</f>
        <v>0</v>
      </c>
      <c r="F23" s="136">
        <f>+BH44+BH62+BH80+BH98+BH116+BH134</f>
        <v>0</v>
      </c>
      <c r="G23" s="137">
        <f t="shared" si="0"/>
        <v>0</v>
      </c>
      <c r="H23" s="132"/>
      <c r="I23" s="87"/>
      <c r="J23" s="142">
        <f>IF(E23&gt;=1,ROUND(J99/(D99-D98)*0.1*E23,2),0)</f>
        <v>0</v>
      </c>
      <c r="K23" s="143" t="str">
        <f>IF(E23&gt;=1,"Montant jours pris en 10% : "&amp;E23&amp;" jrs X "&amp;ROUND(J99/(D99-D98)*0.1*E23,2)&amp;" €","")</f>
        <v/>
      </c>
      <c r="N23" s="13"/>
      <c r="O23" s="13"/>
      <c r="P23" s="13"/>
    </row>
    <row r="24" spans="1:90" s="8" customFormat="1" ht="13.5" customHeight="1" x14ac:dyDescent="0.2">
      <c r="A24" s="36"/>
      <c r="B24" s="1"/>
      <c r="C24" s="210" t="e">
        <f>+"Pris (congés acquis : "&amp;PROPER(+TEXT(B103,"mmmm"))&amp;" "&amp;YEAR(B103)&amp;" à "&amp;IF(D17&gt;=B114,C114,PROPER(+TEXT(D17,"mmmm"))&amp;" "&amp;YEAR(D17))&amp;") :"</f>
        <v>#VALUE!</v>
      </c>
      <c r="D24" s="211"/>
      <c r="E24" s="127">
        <f>+MIN(E63+E81+E45+E99+E117+E136-E20-E21-E22-E23,D117)</f>
        <v>0</v>
      </c>
      <c r="F24" s="136">
        <f>+BK44+BK62+BK80+BK98+BK116+BK134</f>
        <v>0</v>
      </c>
      <c r="G24" s="137">
        <f t="shared" si="0"/>
        <v>0</v>
      </c>
      <c r="H24" s="132"/>
      <c r="I24" s="87"/>
      <c r="J24" s="142">
        <f>IF(E24&gt;=1,ROUND(J117/(D117-D116)*0.1*E24,2),0)</f>
        <v>0</v>
      </c>
      <c r="K24" s="143" t="str">
        <f>IF(E24&gt;=1,"Montant jours pris en 10% : "&amp;E24&amp;" jrs X "&amp;ROUND(J117/(D117-D116)*0.1*E24,2)&amp;" €","")</f>
        <v/>
      </c>
      <c r="N24" s="13"/>
      <c r="O24" s="13"/>
      <c r="P24" s="13"/>
    </row>
    <row r="25" spans="1:90" s="8" customFormat="1" ht="13.5" customHeight="1" thickBot="1" x14ac:dyDescent="0.25">
      <c r="A25" s="36"/>
      <c r="B25" s="1"/>
      <c r="C25" s="212" t="e">
        <f>+"Pris (congés acquis : "&amp;PROPER(+TEXT(B121,"mmmm"))&amp;" "&amp;YEAR(B121)&amp;" à "&amp;IF(D17&gt;=B132,C132,PROPER(+TEXT(D17,"mmmm"))&amp;" "&amp;YEAR(D17))&amp;") :"</f>
        <v>#VALUE!</v>
      </c>
      <c r="D25" s="213"/>
      <c r="E25" s="128">
        <f>+E63+E45+E81+E99+E117+E136-E20-E21-E22-E23-E24</f>
        <v>0</v>
      </c>
      <c r="F25" s="138">
        <f>+BN44+BN62+BN80+BN98+BN116+BN134</f>
        <v>0</v>
      </c>
      <c r="G25" s="139">
        <f t="shared" si="0"/>
        <v>0</v>
      </c>
      <c r="H25" s="133"/>
      <c r="I25" s="87"/>
      <c r="J25" s="144">
        <f>IF(E25&gt;=1,ROUND(J50/(D50-D49)*0.1*E25,2),0)</f>
        <v>0</v>
      </c>
      <c r="K25" s="145" t="str">
        <f>IF(E25&gt;=1,"Montant jours pris en 10% : "&amp;E25&amp;" jrs X "&amp;ROUND(J50/(D50-D49)*0.1*E25,2)&amp;" €","")</f>
        <v/>
      </c>
      <c r="N25" s="13"/>
      <c r="O25" s="13"/>
      <c r="P25" s="13"/>
    </row>
    <row r="26" spans="1:90" s="8" customFormat="1" ht="13.5" thickBot="1" x14ac:dyDescent="0.25">
      <c r="B26" s="6"/>
      <c r="F26" s="151" t="s">
        <v>0</v>
      </c>
      <c r="G26" s="152">
        <f>SUM(G20:G25)</f>
        <v>0</v>
      </c>
      <c r="H26" s="152">
        <f>SUM(H20:H25)</f>
        <v>0</v>
      </c>
    </row>
    <row r="27" spans="1:90" s="8" customFormat="1" ht="13.5" thickBot="1" x14ac:dyDescent="0.25">
      <c r="B27" s="6"/>
      <c r="F27" s="7"/>
      <c r="G27" s="91"/>
      <c r="H27" s="91"/>
    </row>
    <row r="28" spans="1:90" s="8" customFormat="1" ht="39" customHeight="1" thickBot="1" x14ac:dyDescent="0.25">
      <c r="B28" s="6"/>
      <c r="F28" s="214" t="str">
        <f>+IF(K2="BRUT","Reste à percevoir en BRUT :","Reste à percevoir en NET :")</f>
        <v>Reste à percevoir en BRUT :</v>
      </c>
      <c r="G28" s="214"/>
      <c r="H28" s="163">
        <f>+G26-H26</f>
        <v>0</v>
      </c>
    </row>
    <row r="29" spans="1:90" s="8" customFormat="1" ht="56.25" customHeight="1" x14ac:dyDescent="0.2">
      <c r="B29" s="6"/>
      <c r="C29" s="107"/>
      <c r="D29" s="35"/>
      <c r="E29" s="99"/>
      <c r="F29" s="35"/>
      <c r="G29" s="35"/>
      <c r="H29" s="35"/>
      <c r="I29" s="35"/>
      <c r="J29" s="106"/>
      <c r="AW29" s="207" t="str">
        <f>"Période : "&amp;CHAR(10)&amp;PROPER(+TEXT(D15,"mmmm"))&amp;" "&amp;YEAR(D15)&amp;" à "&amp;IF(D17&gt;=B42,C42,PROPER(+TEXT(D17,"mmmm"))&amp;" "&amp;YEAR(D17))</f>
        <v>Période : 
Janvier 1900 à Mai 1905</v>
      </c>
      <c r="AX29" s="208"/>
      <c r="AY29" s="209"/>
      <c r="AZ29" s="206" t="e">
        <f>"Période : "&amp;CHAR(10)&amp;PROPER(+TEXT(B49,"mmmm"))&amp;" "&amp;YEAR(B49)&amp;" à "&amp;IF(D17&gt;=B60,C60,PROPER(+TEXT(D17,"mmmm"))&amp;" "&amp;YEAR(D17))</f>
        <v>#VALUE!</v>
      </c>
      <c r="BA29" s="206"/>
      <c r="BB29" s="206"/>
      <c r="BC29" s="206" t="e">
        <f>"Période de : "&amp;CHAR(10)&amp;PROPER(+TEXT(B67,"mmmm"))&amp;" "&amp;YEAR(B67)&amp;" à "&amp;IF(D17&gt;=B78,C78,PROPER(+TEXT(D17,"mmmm"))&amp;" "&amp;YEAR(D17))</f>
        <v>#VALUE!</v>
      </c>
      <c r="BD29" s="206"/>
      <c r="BE29" s="206"/>
      <c r="BF29" s="206" t="e">
        <f>"Période de : "&amp;CHAR(10)&amp;PROPER(+TEXT(B85,"mmmm"))&amp;" "&amp;YEAR(B85)&amp;" à "&amp;IF(D17&gt;=B96,C96,PROPER(+TEXT(D17,"mmmm"))&amp;" "&amp;YEAR(D17))</f>
        <v>#VALUE!</v>
      </c>
      <c r="BG29" s="206"/>
      <c r="BH29" s="206"/>
      <c r="BI29" s="206" t="e">
        <f>"Période de : "&amp;CHAR(10)&amp;PROPER(+TEXT(B103,"mmmm"))&amp;" "&amp;YEAR(B103)&amp;" à "&amp;IF(D17&gt;=B114,C114,PROPER(+TEXT(D17,"mmmm"))&amp;" "&amp;YEAR(D17))</f>
        <v>#VALUE!</v>
      </c>
      <c r="BJ29" s="206"/>
      <c r="BK29" s="206"/>
      <c r="BL29" s="206" t="e">
        <f>"Période de : "&amp;CHAR(10)&amp;PROPER(+TEXT(B121,"mmmm"))&amp;" "&amp;YEAR(B121)&amp;" à "&amp;IF(D17&gt;=B132,C132,PROPER(+TEXT(D17,"mmmm"))&amp;" "&amp;YEAR(D17))</f>
        <v>#VALUE!</v>
      </c>
      <c r="BM29" s="206"/>
      <c r="BN29" s="206"/>
    </row>
    <row r="30" spans="1:90" s="8" customFormat="1" ht="63.75" x14ac:dyDescent="0.2">
      <c r="B30" s="6"/>
      <c r="C30" s="27" t="str">
        <f>"Période : "&amp;CHAR(10)&amp;PROPER(+TEXT(D15,"mmmm"))&amp;" "&amp;YEAR(D15)&amp;" à "&amp;IF(D17&gt;=B42,C42,PROPER(+TEXT(D17,"mmmm"))&amp;" "&amp;YEAR(D17))</f>
        <v>Période : 
Janvier 1900 à Mai 1905</v>
      </c>
      <c r="D30" s="27" t="s">
        <v>72</v>
      </c>
      <c r="E30" s="28" t="s">
        <v>87</v>
      </c>
      <c r="F30" s="28" t="s">
        <v>103</v>
      </c>
      <c r="G30" s="27" t="s">
        <v>94</v>
      </c>
      <c r="H30" s="27" t="s">
        <v>90</v>
      </c>
      <c r="I30" s="105"/>
      <c r="J30" s="27" t="str">
        <f>IF(K2="BRUT","Salaires bruts de l'année (hors indemnités)","Salaires nets de l'année (hors indemnités)")</f>
        <v>Salaires bruts de l'année (hors indemnités)</v>
      </c>
      <c r="K30" s="27" t="s">
        <v>74</v>
      </c>
      <c r="M30" s="98" t="s">
        <v>75</v>
      </c>
      <c r="N30" s="98" t="s">
        <v>76</v>
      </c>
      <c r="P30" s="98" t="str">
        <f>+IF(K2="BRUT","80% des Salaires bruts correspondants à l'arrêt de maladie","80% des Salaires nets correspondants à l'arrêt de maladie")</f>
        <v>80% des Salaires bruts correspondants à l'arrêt de maladie</v>
      </c>
      <c r="AV30" s="27" t="s">
        <v>101</v>
      </c>
      <c r="AW30" s="27" t="s">
        <v>87</v>
      </c>
      <c r="AX30" s="27" t="s">
        <v>104</v>
      </c>
      <c r="AY30" s="27" t="s">
        <v>102</v>
      </c>
      <c r="AZ30" s="164" t="s">
        <v>87</v>
      </c>
      <c r="BA30" s="27" t="s">
        <v>104</v>
      </c>
      <c r="BB30" s="27" t="s">
        <v>102</v>
      </c>
      <c r="BC30" s="27" t="s">
        <v>87</v>
      </c>
      <c r="BD30" s="27" t="s">
        <v>104</v>
      </c>
      <c r="BE30" s="27" t="s">
        <v>102</v>
      </c>
      <c r="BF30" s="27" t="s">
        <v>87</v>
      </c>
      <c r="BG30" s="27" t="s">
        <v>104</v>
      </c>
      <c r="BH30" s="27" t="s">
        <v>102</v>
      </c>
      <c r="BI30" s="27" t="s">
        <v>87</v>
      </c>
      <c r="BJ30" s="27" t="s">
        <v>104</v>
      </c>
      <c r="BK30" s="27" t="s">
        <v>102</v>
      </c>
      <c r="BL30" s="27" t="s">
        <v>87</v>
      </c>
      <c r="BM30" s="27" t="s">
        <v>104</v>
      </c>
      <c r="BN30" s="27" t="s">
        <v>102</v>
      </c>
      <c r="BO30" s="27" t="s">
        <v>105</v>
      </c>
      <c r="CL30" s="108" t="s">
        <v>77</v>
      </c>
    </row>
    <row r="31" spans="1:90" s="8" customFormat="1" ht="14.25" customHeight="1" x14ac:dyDescent="0.2">
      <c r="A31" s="36">
        <f>IF((DATE(YEAR($D$15),MONTH($D$15),DAY($D$15)))&lt;(DATE(YEAR($D$15),6,1)),(DATE(YEAR($D$15)-1,6,1)),(DATE(YEAR($D$15),6,1)))</f>
        <v>693749</v>
      </c>
      <c r="B31" s="1">
        <f>IF((DATE(YEAR($D$15),MONTH($D$15),DAY($D$15)))&lt;(DATE(YEAR($D$15),6,1)),(DATE(YEAR($D$15)-1,6,1)),(DATE(YEAR($D$15),6,1)))</f>
        <v>693749</v>
      </c>
      <c r="C31" s="88" t="str">
        <f>+IF(B31="","","Juin"&amp;" "&amp;YEAR(B31))</f>
        <v>Juin 3799</v>
      </c>
      <c r="D31" s="101"/>
      <c r="E31" s="37"/>
      <c r="F31" s="187">
        <f>IF(E31&gt;=0.1,G31/26,0)</f>
        <v>0</v>
      </c>
      <c r="G31" s="187">
        <f>+IF(H31="",$E$9,H31)</f>
        <v>0</v>
      </c>
      <c r="H31" s="109"/>
      <c r="J31" s="109"/>
      <c r="K31" s="110"/>
      <c r="M31" s="88" t="str">
        <f>+C31</f>
        <v>Juin 3799</v>
      </c>
      <c r="N31" s="101"/>
      <c r="P31" s="109"/>
      <c r="AV31" s="167">
        <f>IF(E31&gt;=0.1,G31/26,0)</f>
        <v>0</v>
      </c>
      <c r="AW31" s="169">
        <f>IF($E31&gt;=0.1,+MIN($E31,$D$45),0)</f>
        <v>0</v>
      </c>
      <c r="AX31" s="169">
        <f>+AW31</f>
        <v>0</v>
      </c>
      <c r="AY31" s="171">
        <f>+AW31*$AV31</f>
        <v>0</v>
      </c>
      <c r="AZ31" s="174">
        <f>IF($E31&gt;=0.1,MIN($E31-$AW31,$D$63),0)</f>
        <v>0</v>
      </c>
      <c r="BA31" s="180">
        <f>+AZ31</f>
        <v>0</v>
      </c>
      <c r="BB31" s="175">
        <f>+AZ31*$AV31</f>
        <v>0</v>
      </c>
      <c r="BC31" s="174">
        <f>IF($E31&gt;=0.1,MIN($E31-$AW31-$AZ31,$D$81),0)</f>
        <v>0</v>
      </c>
      <c r="BD31" s="180">
        <f>+BC31</f>
        <v>0</v>
      </c>
      <c r="BE31" s="175">
        <f>+BC31*$AV31</f>
        <v>0</v>
      </c>
      <c r="BF31" s="174">
        <f>IF($E31&gt;=0.1,MIN($E31-$AW31-$AZ31-$BC31,$D$99),0)</f>
        <v>0</v>
      </c>
      <c r="BG31" s="180">
        <f>+BF31</f>
        <v>0</v>
      </c>
      <c r="BH31" s="175">
        <f>+BF31*$AV31</f>
        <v>0</v>
      </c>
      <c r="BI31" s="174">
        <f>IF($E31&gt;=0.1,MIN($E31-$AW31-$AZ31-$BC31-$BF31,$D$117),0)</f>
        <v>0</v>
      </c>
      <c r="BJ31" s="180">
        <f>+BI31</f>
        <v>0</v>
      </c>
      <c r="BK31" s="175">
        <f>+BI31*$AV31</f>
        <v>0</v>
      </c>
      <c r="BL31" s="174">
        <f>IF($E31&gt;=0.1,MIN($E31-$AW31-$AZ31-$BC31-$BF31-$BI31,$D$136),0)</f>
        <v>0</v>
      </c>
      <c r="BM31" s="180">
        <f>+BL31</f>
        <v>0</v>
      </c>
      <c r="BN31" s="175">
        <f>+BL31*$AV31</f>
        <v>0</v>
      </c>
      <c r="BO31" s="181">
        <f>+BL31+BI31+BF31+BC31+AZ31+AW31</f>
        <v>0</v>
      </c>
      <c r="CL31" s="8" t="str">
        <f t="shared" ref="CL31:CL42" si="1">IF(B31="","NON",+IF(AND(DATE(YEAR(B31),MONTH(B31),1)&gt;=DATE(YEAR($D$15),MONTH($D$15),1),DATE(YEAR(B31),MONTH(B31),1)&lt;=DATE(YEAR($D$17),MONTH($D$17),1)),"OUI","NON"))</f>
        <v>NON</v>
      </c>
    </row>
    <row r="32" spans="1:90" s="8" customFormat="1" ht="13.5" customHeight="1" x14ac:dyDescent="0.2">
      <c r="A32" s="36">
        <f>+EDATE(A31,1)</f>
        <v>693779</v>
      </c>
      <c r="B32" s="1" t="str">
        <f>IF($B$31="","",IF(EDATE($B$31,1)&lt;=$D$17,EDATE($B$31,1),""))</f>
        <v/>
      </c>
      <c r="C32" s="88" t="str">
        <f>+IF(B32="","","Juillet"&amp;" "&amp;YEAR(B32))</f>
        <v/>
      </c>
      <c r="D32" s="101"/>
      <c r="E32" s="37"/>
      <c r="F32" s="187">
        <f t="shared" ref="F32:F42" si="2">IF(E32&gt;=0.1,G32/26,0)</f>
        <v>0</v>
      </c>
      <c r="G32" s="187">
        <f>+IF(H32="",G31,H32)</f>
        <v>0</v>
      </c>
      <c r="H32" s="109"/>
      <c r="J32" s="109"/>
      <c r="K32" s="110"/>
      <c r="M32" s="88" t="str">
        <f t="shared" ref="M32:M42" si="3">+C32</f>
        <v/>
      </c>
      <c r="N32" s="101"/>
      <c r="P32" s="109"/>
      <c r="AV32" s="167">
        <f t="shared" ref="AV32:AV42" si="4">IF(E32&gt;=0.1,G32/26,0)</f>
        <v>0</v>
      </c>
      <c r="AW32" s="169">
        <f t="shared" ref="AW32:AW42" si="5">IF($E32&gt;=0.1,+MIN($E32,$D$45-$AX31),0)</f>
        <v>0</v>
      </c>
      <c r="AX32" s="169">
        <f>+AX31+AW32</f>
        <v>0</v>
      </c>
      <c r="AY32" s="171">
        <f t="shared" ref="AY32:AY42" si="6">+AW32*$AV32</f>
        <v>0</v>
      </c>
      <c r="AZ32" s="176">
        <f t="shared" ref="AZ32:AZ36" si="7">IF($E32&gt;=0.1,MIN($E32-$AW32,$D$63-$BA31),0)</f>
        <v>0</v>
      </c>
      <c r="BA32" s="169">
        <f>+BA31+AZ32</f>
        <v>0</v>
      </c>
      <c r="BB32" s="177">
        <f t="shared" ref="BB32:BB42" si="8">+AZ32*$AV32</f>
        <v>0</v>
      </c>
      <c r="BC32" s="176">
        <f>IF($E32&gt;=0.1,MIN($E32-$AW32-$AZ32,$D$81-$BD31),0)</f>
        <v>0</v>
      </c>
      <c r="BD32" s="169">
        <f>+BD31+BC32</f>
        <v>0</v>
      </c>
      <c r="BE32" s="177">
        <f t="shared" ref="BE32:BE42" si="9">+BC32*$AV32</f>
        <v>0</v>
      </c>
      <c r="BF32" s="176">
        <f>IF($E32&gt;=0.1,MIN($E32-$AW32-$AZ32-$BC32,$D$99-$BG31),0)</f>
        <v>0</v>
      </c>
      <c r="BG32" s="169">
        <f>+BG31+BF32</f>
        <v>0</v>
      </c>
      <c r="BH32" s="177">
        <f t="shared" ref="BH32:BH42" si="10">+BF32*$AV32</f>
        <v>0</v>
      </c>
      <c r="BI32" s="176">
        <f>IF($E32&gt;=0.1,MIN($E32-$AW32-$AZ32-$BC32-$BF32,$D$117-$BJ31),0)</f>
        <v>0</v>
      </c>
      <c r="BJ32" s="169">
        <f>+BJ31+BI32</f>
        <v>0</v>
      </c>
      <c r="BK32" s="177">
        <f t="shared" ref="BK32:BK42" si="11">+BI32*$AV32</f>
        <v>0</v>
      </c>
      <c r="BL32" s="176">
        <f>IF($E32&gt;=0.1,MIN($E32-$AW32-$AZ32-$BC32-$BF32-$BI32,$D$136-$BM31),0)</f>
        <v>0</v>
      </c>
      <c r="BM32" s="169">
        <f>+BM31+BL32</f>
        <v>0</v>
      </c>
      <c r="BN32" s="177">
        <f t="shared" ref="BN32:BN42" si="12">+BL32*$AV32</f>
        <v>0</v>
      </c>
      <c r="BO32" s="182">
        <f t="shared" ref="BO32:BO42" si="13">+BL32+BI32+BF32+BC32+AZ32+AW32</f>
        <v>0</v>
      </c>
      <c r="CL32" s="8" t="str">
        <f t="shared" si="1"/>
        <v>NON</v>
      </c>
    </row>
    <row r="33" spans="1:91" s="8" customFormat="1" ht="13.5" customHeight="1" x14ac:dyDescent="0.2">
      <c r="A33" s="36">
        <f t="shared" ref="A33:A42" si="14">+EDATE(A32,1)</f>
        <v>693810</v>
      </c>
      <c r="B33" s="1" t="str">
        <f>IF($B$32="","",IF(EDATE($B$32,1)&lt;=$D$17,EDATE($B$32,1),""))</f>
        <v/>
      </c>
      <c r="C33" s="88" t="str">
        <f>+IF(B33="","","Aout"&amp;" "&amp;YEAR(B33))</f>
        <v/>
      </c>
      <c r="D33" s="101"/>
      <c r="E33" s="37"/>
      <c r="F33" s="187">
        <f t="shared" si="2"/>
        <v>0</v>
      </c>
      <c r="G33" s="187">
        <f t="shared" ref="G33:G42" si="15">+IF(H33="",G32,H33)</f>
        <v>0</v>
      </c>
      <c r="H33" s="109"/>
      <c r="J33" s="109"/>
      <c r="K33" s="110"/>
      <c r="M33" s="88" t="str">
        <f t="shared" si="3"/>
        <v/>
      </c>
      <c r="N33" s="101"/>
      <c r="P33" s="109"/>
      <c r="AV33" s="167">
        <f t="shared" si="4"/>
        <v>0</v>
      </c>
      <c r="AW33" s="169">
        <f t="shared" si="5"/>
        <v>0</v>
      </c>
      <c r="AX33" s="169">
        <f t="shared" ref="AX33:AX42" si="16">+AX32+AW33</f>
        <v>0</v>
      </c>
      <c r="AY33" s="171">
        <f t="shared" si="6"/>
        <v>0</v>
      </c>
      <c r="AZ33" s="176">
        <f t="shared" si="7"/>
        <v>0</v>
      </c>
      <c r="BA33" s="169">
        <f t="shared" ref="BA33:BA42" si="17">+BA32+AZ33</f>
        <v>0</v>
      </c>
      <c r="BB33" s="177">
        <f t="shared" si="8"/>
        <v>0</v>
      </c>
      <c r="BC33" s="176">
        <f t="shared" ref="BC33:BC42" si="18">IF($E33&gt;=0.1,MIN($E33-$AW33-$AZ33,$D$81-$BD32),0)</f>
        <v>0</v>
      </c>
      <c r="BD33" s="169">
        <f t="shared" ref="BD33:BD42" si="19">+BD32+BC33</f>
        <v>0</v>
      </c>
      <c r="BE33" s="177">
        <f t="shared" si="9"/>
        <v>0</v>
      </c>
      <c r="BF33" s="176">
        <f t="shared" ref="BF33:BF42" si="20">IF($E33&gt;=0.1,MIN($E33-$AW33-$AZ33-$BC33,$D$99-$BG32),0)</f>
        <v>0</v>
      </c>
      <c r="BG33" s="169">
        <f t="shared" ref="BG33:BG42" si="21">+BG32+BF33</f>
        <v>0</v>
      </c>
      <c r="BH33" s="177">
        <f t="shared" si="10"/>
        <v>0</v>
      </c>
      <c r="BI33" s="176">
        <f t="shared" ref="BI33:BI42" si="22">IF($E33&gt;=0.1,MIN($E33-$AW33-$AZ33-$BC33-$BF33,$D$117-$BJ32),0)</f>
        <v>0</v>
      </c>
      <c r="BJ33" s="169">
        <f t="shared" ref="BJ33:BJ42" si="23">+BJ32+BI33</f>
        <v>0</v>
      </c>
      <c r="BK33" s="177">
        <f t="shared" si="11"/>
        <v>0</v>
      </c>
      <c r="BL33" s="176">
        <f t="shared" ref="BL33:BL42" si="24">IF($E33&gt;=0.1,MIN($E33-$AW33-$AZ33-$BC33-$BF33-$BI33,$D$136-$BM32),0)</f>
        <v>0</v>
      </c>
      <c r="BM33" s="169">
        <f t="shared" ref="BM33:BM42" si="25">+BM32+BL33</f>
        <v>0</v>
      </c>
      <c r="BN33" s="177">
        <f t="shared" si="12"/>
        <v>0</v>
      </c>
      <c r="BO33" s="182">
        <f t="shared" si="13"/>
        <v>0</v>
      </c>
      <c r="CL33" s="8" t="str">
        <f t="shared" si="1"/>
        <v>NON</v>
      </c>
    </row>
    <row r="34" spans="1:91" s="8" customFormat="1" ht="13.5" customHeight="1" x14ac:dyDescent="0.2">
      <c r="A34" s="36">
        <f t="shared" si="14"/>
        <v>693841</v>
      </c>
      <c r="B34" s="1" t="str">
        <f>IF($B$33="","",IF(EDATE($B$33,1)&lt;=$D$17,EDATE($B$33,1),""))</f>
        <v/>
      </c>
      <c r="C34" s="88" t="str">
        <f>+IF(B34="","","Septembre"&amp;" "&amp;YEAR(B34))</f>
        <v/>
      </c>
      <c r="D34" s="101"/>
      <c r="E34" s="37"/>
      <c r="F34" s="187">
        <f t="shared" si="2"/>
        <v>0</v>
      </c>
      <c r="G34" s="187">
        <f t="shared" si="15"/>
        <v>0</v>
      </c>
      <c r="H34" s="109"/>
      <c r="J34" s="109"/>
      <c r="K34" s="110"/>
      <c r="M34" s="88" t="str">
        <f t="shared" si="3"/>
        <v/>
      </c>
      <c r="N34" s="101"/>
      <c r="P34" s="109"/>
      <c r="AV34" s="167">
        <f t="shared" si="4"/>
        <v>0</v>
      </c>
      <c r="AW34" s="169">
        <f t="shared" si="5"/>
        <v>0</v>
      </c>
      <c r="AX34" s="169">
        <f t="shared" si="16"/>
        <v>0</v>
      </c>
      <c r="AY34" s="171">
        <f t="shared" si="6"/>
        <v>0</v>
      </c>
      <c r="AZ34" s="176">
        <f t="shared" si="7"/>
        <v>0</v>
      </c>
      <c r="BA34" s="169">
        <f t="shared" si="17"/>
        <v>0</v>
      </c>
      <c r="BB34" s="177">
        <f t="shared" si="8"/>
        <v>0</v>
      </c>
      <c r="BC34" s="176">
        <f t="shared" si="18"/>
        <v>0</v>
      </c>
      <c r="BD34" s="169">
        <f t="shared" si="19"/>
        <v>0</v>
      </c>
      <c r="BE34" s="177">
        <f t="shared" si="9"/>
        <v>0</v>
      </c>
      <c r="BF34" s="176">
        <f t="shared" si="20"/>
        <v>0</v>
      </c>
      <c r="BG34" s="169">
        <f t="shared" si="21"/>
        <v>0</v>
      </c>
      <c r="BH34" s="177">
        <f t="shared" si="10"/>
        <v>0</v>
      </c>
      <c r="BI34" s="176">
        <f t="shared" si="22"/>
        <v>0</v>
      </c>
      <c r="BJ34" s="169">
        <f t="shared" si="23"/>
        <v>0</v>
      </c>
      <c r="BK34" s="177">
        <f t="shared" si="11"/>
        <v>0</v>
      </c>
      <c r="BL34" s="176">
        <f t="shared" si="24"/>
        <v>0</v>
      </c>
      <c r="BM34" s="169">
        <f t="shared" si="25"/>
        <v>0</v>
      </c>
      <c r="BN34" s="177">
        <f t="shared" si="12"/>
        <v>0</v>
      </c>
      <c r="BO34" s="182">
        <f t="shared" si="13"/>
        <v>0</v>
      </c>
      <c r="CL34" s="8" t="str">
        <f t="shared" si="1"/>
        <v>NON</v>
      </c>
    </row>
    <row r="35" spans="1:91" s="8" customFormat="1" ht="13.5" customHeight="1" x14ac:dyDescent="0.2">
      <c r="A35" s="36">
        <f t="shared" si="14"/>
        <v>693871</v>
      </c>
      <c r="B35" s="1" t="str">
        <f>IF($B$34="","",IF(EDATE($B$34,1)&lt;=$D$17,EDATE($B$34,1),""))</f>
        <v/>
      </c>
      <c r="C35" s="88" t="str">
        <f>+IF(B35="","","Octobre"&amp;" "&amp;YEAR(B35))</f>
        <v/>
      </c>
      <c r="D35" s="101"/>
      <c r="E35" s="37"/>
      <c r="F35" s="187">
        <f t="shared" si="2"/>
        <v>0</v>
      </c>
      <c r="G35" s="187">
        <f t="shared" si="15"/>
        <v>0</v>
      </c>
      <c r="H35" s="109"/>
      <c r="J35" s="109"/>
      <c r="K35" s="110"/>
      <c r="M35" s="88" t="str">
        <f t="shared" si="3"/>
        <v/>
      </c>
      <c r="N35" s="101"/>
      <c r="P35" s="109"/>
      <c r="AV35" s="167">
        <f t="shared" si="4"/>
        <v>0</v>
      </c>
      <c r="AW35" s="169">
        <f t="shared" si="5"/>
        <v>0</v>
      </c>
      <c r="AX35" s="169">
        <f t="shared" si="16"/>
        <v>0</v>
      </c>
      <c r="AY35" s="171">
        <f t="shared" si="6"/>
        <v>0</v>
      </c>
      <c r="AZ35" s="176">
        <f t="shared" si="7"/>
        <v>0</v>
      </c>
      <c r="BA35" s="169">
        <f t="shared" si="17"/>
        <v>0</v>
      </c>
      <c r="BB35" s="177">
        <f t="shared" si="8"/>
        <v>0</v>
      </c>
      <c r="BC35" s="176">
        <f t="shared" si="18"/>
        <v>0</v>
      </c>
      <c r="BD35" s="169">
        <f t="shared" si="19"/>
        <v>0</v>
      </c>
      <c r="BE35" s="177">
        <f t="shared" si="9"/>
        <v>0</v>
      </c>
      <c r="BF35" s="176">
        <f t="shared" si="20"/>
        <v>0</v>
      </c>
      <c r="BG35" s="169">
        <f t="shared" si="21"/>
        <v>0</v>
      </c>
      <c r="BH35" s="177">
        <f t="shared" si="10"/>
        <v>0</v>
      </c>
      <c r="BI35" s="176">
        <f t="shared" si="22"/>
        <v>0</v>
      </c>
      <c r="BJ35" s="169">
        <f t="shared" si="23"/>
        <v>0</v>
      </c>
      <c r="BK35" s="177">
        <f t="shared" si="11"/>
        <v>0</v>
      </c>
      <c r="BL35" s="176">
        <f t="shared" si="24"/>
        <v>0</v>
      </c>
      <c r="BM35" s="169">
        <f t="shared" si="25"/>
        <v>0</v>
      </c>
      <c r="BN35" s="177">
        <f t="shared" si="12"/>
        <v>0</v>
      </c>
      <c r="BO35" s="182">
        <f t="shared" si="13"/>
        <v>0</v>
      </c>
      <c r="CL35" s="8" t="str">
        <f t="shared" si="1"/>
        <v>NON</v>
      </c>
    </row>
    <row r="36" spans="1:91" s="8" customFormat="1" ht="13.5" customHeight="1" x14ac:dyDescent="0.2">
      <c r="A36" s="36">
        <f t="shared" si="14"/>
        <v>693902</v>
      </c>
      <c r="B36" s="1" t="str">
        <f>IF($B$35="","",IF(EDATE($B$35,1)&lt;=$D$17,EDATE($B$35,1),""))</f>
        <v/>
      </c>
      <c r="C36" s="88" t="str">
        <f>+IF(B36="","","Novembre"&amp;" "&amp;YEAR(B36))</f>
        <v/>
      </c>
      <c r="D36" s="101"/>
      <c r="E36" s="37"/>
      <c r="F36" s="187">
        <f t="shared" si="2"/>
        <v>0</v>
      </c>
      <c r="G36" s="187">
        <f t="shared" si="15"/>
        <v>0</v>
      </c>
      <c r="H36" s="109"/>
      <c r="J36" s="109"/>
      <c r="K36" s="110"/>
      <c r="M36" s="88" t="str">
        <f t="shared" si="3"/>
        <v/>
      </c>
      <c r="N36" s="101"/>
      <c r="P36" s="109"/>
      <c r="AV36" s="167">
        <f t="shared" si="4"/>
        <v>0</v>
      </c>
      <c r="AW36" s="169">
        <f t="shared" si="5"/>
        <v>0</v>
      </c>
      <c r="AX36" s="169">
        <f t="shared" si="16"/>
        <v>0</v>
      </c>
      <c r="AY36" s="171">
        <f t="shared" si="6"/>
        <v>0</v>
      </c>
      <c r="AZ36" s="176">
        <f t="shared" si="7"/>
        <v>0</v>
      </c>
      <c r="BA36" s="169">
        <f t="shared" si="17"/>
        <v>0</v>
      </c>
      <c r="BB36" s="177">
        <f t="shared" si="8"/>
        <v>0</v>
      </c>
      <c r="BC36" s="176">
        <f t="shared" si="18"/>
        <v>0</v>
      </c>
      <c r="BD36" s="169">
        <f t="shared" si="19"/>
        <v>0</v>
      </c>
      <c r="BE36" s="177">
        <f t="shared" si="9"/>
        <v>0</v>
      </c>
      <c r="BF36" s="176">
        <f t="shared" si="20"/>
        <v>0</v>
      </c>
      <c r="BG36" s="169">
        <f t="shared" si="21"/>
        <v>0</v>
      </c>
      <c r="BH36" s="177">
        <f t="shared" si="10"/>
        <v>0</v>
      </c>
      <c r="BI36" s="176">
        <f t="shared" si="22"/>
        <v>0</v>
      </c>
      <c r="BJ36" s="169">
        <f t="shared" si="23"/>
        <v>0</v>
      </c>
      <c r="BK36" s="177">
        <f t="shared" si="11"/>
        <v>0</v>
      </c>
      <c r="BL36" s="176">
        <f t="shared" si="24"/>
        <v>0</v>
      </c>
      <c r="BM36" s="169">
        <f t="shared" si="25"/>
        <v>0</v>
      </c>
      <c r="BN36" s="177">
        <f t="shared" si="12"/>
        <v>0</v>
      </c>
      <c r="BO36" s="182">
        <f t="shared" si="13"/>
        <v>0</v>
      </c>
      <c r="CL36" s="8" t="str">
        <f t="shared" si="1"/>
        <v>NON</v>
      </c>
    </row>
    <row r="37" spans="1:91" s="8" customFormat="1" ht="13.5" customHeight="1" x14ac:dyDescent="0.2">
      <c r="A37" s="36">
        <f t="shared" si="14"/>
        <v>693932</v>
      </c>
      <c r="B37" s="1" t="str">
        <f>IF($B$36="","",IF(EDATE($B$36,1)&lt;=$D$17,EDATE($B$36,1),""))</f>
        <v/>
      </c>
      <c r="C37" s="88" t="str">
        <f>+IF(B37="","","Décembre"&amp;" "&amp;YEAR(B37))</f>
        <v/>
      </c>
      <c r="D37" s="101"/>
      <c r="E37" s="37"/>
      <c r="F37" s="187">
        <f t="shared" si="2"/>
        <v>0</v>
      </c>
      <c r="G37" s="187">
        <f t="shared" si="15"/>
        <v>0</v>
      </c>
      <c r="H37" s="109"/>
      <c r="J37" s="109"/>
      <c r="K37" s="110"/>
      <c r="M37" s="88" t="str">
        <f t="shared" si="3"/>
        <v/>
      </c>
      <c r="N37" s="101"/>
      <c r="P37" s="109"/>
      <c r="AV37" s="167">
        <f t="shared" si="4"/>
        <v>0</v>
      </c>
      <c r="AW37" s="169">
        <f t="shared" si="5"/>
        <v>0</v>
      </c>
      <c r="AX37" s="169">
        <f t="shared" si="16"/>
        <v>0</v>
      </c>
      <c r="AY37" s="171">
        <f t="shared" si="6"/>
        <v>0</v>
      </c>
      <c r="AZ37" s="176">
        <f>IF($E37&gt;=0.1,MIN($E37-$AW37,$D$63-$BA36),0)</f>
        <v>0</v>
      </c>
      <c r="BA37" s="169">
        <f t="shared" si="17"/>
        <v>0</v>
      </c>
      <c r="BB37" s="177">
        <f t="shared" si="8"/>
        <v>0</v>
      </c>
      <c r="BC37" s="176">
        <f t="shared" si="18"/>
        <v>0</v>
      </c>
      <c r="BD37" s="169">
        <f t="shared" si="19"/>
        <v>0</v>
      </c>
      <c r="BE37" s="177">
        <f t="shared" si="9"/>
        <v>0</v>
      </c>
      <c r="BF37" s="176">
        <f t="shared" si="20"/>
        <v>0</v>
      </c>
      <c r="BG37" s="169">
        <f t="shared" si="21"/>
        <v>0</v>
      </c>
      <c r="BH37" s="177">
        <f t="shared" si="10"/>
        <v>0</v>
      </c>
      <c r="BI37" s="176">
        <f t="shared" si="22"/>
        <v>0</v>
      </c>
      <c r="BJ37" s="169">
        <f t="shared" si="23"/>
        <v>0</v>
      </c>
      <c r="BK37" s="177">
        <f t="shared" si="11"/>
        <v>0</v>
      </c>
      <c r="BL37" s="176">
        <f t="shared" si="24"/>
        <v>0</v>
      </c>
      <c r="BM37" s="169">
        <f t="shared" si="25"/>
        <v>0</v>
      </c>
      <c r="BN37" s="177">
        <f t="shared" si="12"/>
        <v>0</v>
      </c>
      <c r="BO37" s="182">
        <f t="shared" si="13"/>
        <v>0</v>
      </c>
      <c r="CL37" s="8" t="str">
        <f t="shared" si="1"/>
        <v>NON</v>
      </c>
    </row>
    <row r="38" spans="1:91" s="8" customFormat="1" ht="13.5" customHeight="1" x14ac:dyDescent="0.2">
      <c r="A38" s="36">
        <f t="shared" si="14"/>
        <v>693963</v>
      </c>
      <c r="B38" s="1" t="str">
        <f>IF($B$37="","",IF(EDATE($B$37,1)&lt;=$D$17,EDATE($B$37,1),""))</f>
        <v/>
      </c>
      <c r="C38" s="88" t="str">
        <f>+IF(B38="","","Janvier"&amp;" "&amp;YEAR(B38))</f>
        <v/>
      </c>
      <c r="D38" s="101"/>
      <c r="E38" s="37"/>
      <c r="F38" s="187">
        <f t="shared" si="2"/>
        <v>0</v>
      </c>
      <c r="G38" s="187">
        <f t="shared" si="15"/>
        <v>0</v>
      </c>
      <c r="H38" s="109"/>
      <c r="J38" s="109"/>
      <c r="K38" s="110"/>
      <c r="M38" s="88" t="str">
        <f t="shared" si="3"/>
        <v/>
      </c>
      <c r="N38" s="101"/>
      <c r="P38" s="109"/>
      <c r="AV38" s="167">
        <f t="shared" si="4"/>
        <v>0</v>
      </c>
      <c r="AW38" s="169">
        <f t="shared" si="5"/>
        <v>0</v>
      </c>
      <c r="AX38" s="169">
        <f t="shared" si="16"/>
        <v>0</v>
      </c>
      <c r="AY38" s="171">
        <f t="shared" si="6"/>
        <v>0</v>
      </c>
      <c r="AZ38" s="176">
        <f t="shared" ref="AZ38:AZ42" si="26">IF($E38&gt;=0.1,MIN($E38-$AW38,$D$63-$BA37),0)</f>
        <v>0</v>
      </c>
      <c r="BA38" s="169">
        <f t="shared" si="17"/>
        <v>0</v>
      </c>
      <c r="BB38" s="177">
        <f t="shared" si="8"/>
        <v>0</v>
      </c>
      <c r="BC38" s="176">
        <f t="shared" si="18"/>
        <v>0</v>
      </c>
      <c r="BD38" s="169">
        <f t="shared" si="19"/>
        <v>0</v>
      </c>
      <c r="BE38" s="177">
        <f t="shared" si="9"/>
        <v>0</v>
      </c>
      <c r="BF38" s="176">
        <f t="shared" si="20"/>
        <v>0</v>
      </c>
      <c r="BG38" s="169">
        <f t="shared" si="21"/>
        <v>0</v>
      </c>
      <c r="BH38" s="177">
        <f t="shared" si="10"/>
        <v>0</v>
      </c>
      <c r="BI38" s="176">
        <f t="shared" si="22"/>
        <v>0</v>
      </c>
      <c r="BJ38" s="169">
        <f t="shared" si="23"/>
        <v>0</v>
      </c>
      <c r="BK38" s="177">
        <f t="shared" si="11"/>
        <v>0</v>
      </c>
      <c r="BL38" s="176">
        <f t="shared" si="24"/>
        <v>0</v>
      </c>
      <c r="BM38" s="169">
        <f t="shared" si="25"/>
        <v>0</v>
      </c>
      <c r="BN38" s="177">
        <f t="shared" si="12"/>
        <v>0</v>
      </c>
      <c r="BO38" s="182">
        <f t="shared" si="13"/>
        <v>0</v>
      </c>
      <c r="CL38" s="8" t="str">
        <f t="shared" si="1"/>
        <v>NON</v>
      </c>
    </row>
    <row r="39" spans="1:91" s="8" customFormat="1" ht="13.5" customHeight="1" x14ac:dyDescent="0.2">
      <c r="A39" s="36">
        <f t="shared" si="14"/>
        <v>693994</v>
      </c>
      <c r="B39" s="1" t="str">
        <f>IF($B$38="","",IF(EDATE($B$38,1)&lt;=$D$17,EDATE($B$38,1),""))</f>
        <v/>
      </c>
      <c r="C39" s="88" t="str">
        <f>+IF(B39="","","Février"&amp;" "&amp;YEAR(B39))</f>
        <v/>
      </c>
      <c r="D39" s="101"/>
      <c r="E39" s="37"/>
      <c r="F39" s="187">
        <f t="shared" si="2"/>
        <v>0</v>
      </c>
      <c r="G39" s="187">
        <f t="shared" si="15"/>
        <v>0</v>
      </c>
      <c r="H39" s="109"/>
      <c r="J39" s="109"/>
      <c r="K39" s="110"/>
      <c r="M39" s="88" t="str">
        <f t="shared" si="3"/>
        <v/>
      </c>
      <c r="N39" s="101"/>
      <c r="P39" s="109"/>
      <c r="AV39" s="167">
        <f t="shared" si="4"/>
        <v>0</v>
      </c>
      <c r="AW39" s="169">
        <f t="shared" si="5"/>
        <v>0</v>
      </c>
      <c r="AX39" s="169">
        <f t="shared" si="16"/>
        <v>0</v>
      </c>
      <c r="AY39" s="171">
        <f t="shared" si="6"/>
        <v>0</v>
      </c>
      <c r="AZ39" s="176">
        <f t="shared" si="26"/>
        <v>0</v>
      </c>
      <c r="BA39" s="169">
        <f t="shared" si="17"/>
        <v>0</v>
      </c>
      <c r="BB39" s="177">
        <f t="shared" si="8"/>
        <v>0</v>
      </c>
      <c r="BC39" s="176">
        <f t="shared" si="18"/>
        <v>0</v>
      </c>
      <c r="BD39" s="169">
        <f t="shared" si="19"/>
        <v>0</v>
      </c>
      <c r="BE39" s="177">
        <f t="shared" si="9"/>
        <v>0</v>
      </c>
      <c r="BF39" s="176">
        <f t="shared" si="20"/>
        <v>0</v>
      </c>
      <c r="BG39" s="169">
        <f t="shared" si="21"/>
        <v>0</v>
      </c>
      <c r="BH39" s="177">
        <f t="shared" si="10"/>
        <v>0</v>
      </c>
      <c r="BI39" s="176">
        <f t="shared" si="22"/>
        <v>0</v>
      </c>
      <c r="BJ39" s="169">
        <f t="shared" si="23"/>
        <v>0</v>
      </c>
      <c r="BK39" s="177">
        <f t="shared" si="11"/>
        <v>0</v>
      </c>
      <c r="BL39" s="176">
        <f t="shared" si="24"/>
        <v>0</v>
      </c>
      <c r="BM39" s="169">
        <f t="shared" si="25"/>
        <v>0</v>
      </c>
      <c r="BN39" s="177">
        <f t="shared" si="12"/>
        <v>0</v>
      </c>
      <c r="BO39" s="182">
        <f t="shared" si="13"/>
        <v>0</v>
      </c>
      <c r="CL39" s="8" t="str">
        <f t="shared" si="1"/>
        <v>NON</v>
      </c>
    </row>
    <row r="40" spans="1:91" s="8" customFormat="1" ht="13.5" customHeight="1" x14ac:dyDescent="0.2">
      <c r="A40" s="36">
        <f t="shared" si="14"/>
        <v>694022</v>
      </c>
      <c r="B40" s="1" t="str">
        <f>IF($B$39="","",IF(EDATE($B$39,1)&lt;=$D$17,EDATE($B$39,1),""))</f>
        <v/>
      </c>
      <c r="C40" s="88" t="str">
        <f>+IF(B40="","","Mars"&amp;" "&amp;YEAR(B40))</f>
        <v/>
      </c>
      <c r="D40" s="101"/>
      <c r="E40" s="37"/>
      <c r="F40" s="187">
        <f t="shared" si="2"/>
        <v>0</v>
      </c>
      <c r="G40" s="187">
        <f t="shared" si="15"/>
        <v>0</v>
      </c>
      <c r="H40" s="109"/>
      <c r="J40" s="109"/>
      <c r="K40" s="110"/>
      <c r="M40" s="88" t="str">
        <f t="shared" si="3"/>
        <v/>
      </c>
      <c r="N40" s="101"/>
      <c r="P40" s="109"/>
      <c r="AV40" s="167">
        <f t="shared" si="4"/>
        <v>0</v>
      </c>
      <c r="AW40" s="169">
        <f t="shared" si="5"/>
        <v>0</v>
      </c>
      <c r="AX40" s="169">
        <f t="shared" si="16"/>
        <v>0</v>
      </c>
      <c r="AY40" s="171">
        <f t="shared" si="6"/>
        <v>0</v>
      </c>
      <c r="AZ40" s="176">
        <f t="shared" si="26"/>
        <v>0</v>
      </c>
      <c r="BA40" s="169">
        <f t="shared" si="17"/>
        <v>0</v>
      </c>
      <c r="BB40" s="177">
        <f t="shared" si="8"/>
        <v>0</v>
      </c>
      <c r="BC40" s="176">
        <f t="shared" si="18"/>
        <v>0</v>
      </c>
      <c r="BD40" s="169">
        <f t="shared" si="19"/>
        <v>0</v>
      </c>
      <c r="BE40" s="177">
        <f t="shared" si="9"/>
        <v>0</v>
      </c>
      <c r="BF40" s="176">
        <f t="shared" si="20"/>
        <v>0</v>
      </c>
      <c r="BG40" s="169">
        <f t="shared" si="21"/>
        <v>0</v>
      </c>
      <c r="BH40" s="177">
        <f t="shared" si="10"/>
        <v>0</v>
      </c>
      <c r="BI40" s="176">
        <f t="shared" si="22"/>
        <v>0</v>
      </c>
      <c r="BJ40" s="169">
        <f t="shared" si="23"/>
        <v>0</v>
      </c>
      <c r="BK40" s="177">
        <f t="shared" si="11"/>
        <v>0</v>
      </c>
      <c r="BL40" s="176">
        <f t="shared" si="24"/>
        <v>0</v>
      </c>
      <c r="BM40" s="169">
        <f t="shared" si="25"/>
        <v>0</v>
      </c>
      <c r="BN40" s="177">
        <f t="shared" si="12"/>
        <v>0</v>
      </c>
      <c r="BO40" s="182">
        <f t="shared" si="13"/>
        <v>0</v>
      </c>
      <c r="CL40" s="8" t="str">
        <f t="shared" si="1"/>
        <v>NON</v>
      </c>
    </row>
    <row r="41" spans="1:91" s="8" customFormat="1" ht="13.5" customHeight="1" x14ac:dyDescent="0.2">
      <c r="A41" s="36">
        <f t="shared" si="14"/>
        <v>694053</v>
      </c>
      <c r="B41" s="1" t="str">
        <f>IF($B$40="","",IF(EDATE($B$40,1)&lt;=$D$17,EDATE($B$40,1),""))</f>
        <v/>
      </c>
      <c r="C41" s="88" t="str">
        <f>+IF(B41="","","Avril"&amp;" "&amp;YEAR(B41))</f>
        <v/>
      </c>
      <c r="D41" s="101"/>
      <c r="E41" s="37"/>
      <c r="F41" s="187">
        <f t="shared" si="2"/>
        <v>0</v>
      </c>
      <c r="G41" s="187">
        <f t="shared" si="15"/>
        <v>0</v>
      </c>
      <c r="H41" s="109"/>
      <c r="J41" s="109"/>
      <c r="K41" s="110"/>
      <c r="M41" s="88" t="str">
        <f t="shared" si="3"/>
        <v/>
      </c>
      <c r="N41" s="101"/>
      <c r="P41" s="109"/>
      <c r="AV41" s="167">
        <f t="shared" si="4"/>
        <v>0</v>
      </c>
      <c r="AW41" s="169">
        <f t="shared" si="5"/>
        <v>0</v>
      </c>
      <c r="AX41" s="169">
        <f t="shared" si="16"/>
        <v>0</v>
      </c>
      <c r="AY41" s="171">
        <f t="shared" si="6"/>
        <v>0</v>
      </c>
      <c r="AZ41" s="176">
        <f t="shared" si="26"/>
        <v>0</v>
      </c>
      <c r="BA41" s="169">
        <f t="shared" si="17"/>
        <v>0</v>
      </c>
      <c r="BB41" s="177">
        <f t="shared" si="8"/>
        <v>0</v>
      </c>
      <c r="BC41" s="176">
        <f t="shared" si="18"/>
        <v>0</v>
      </c>
      <c r="BD41" s="169">
        <f t="shared" si="19"/>
        <v>0</v>
      </c>
      <c r="BE41" s="177">
        <f t="shared" si="9"/>
        <v>0</v>
      </c>
      <c r="BF41" s="176">
        <f t="shared" si="20"/>
        <v>0</v>
      </c>
      <c r="BG41" s="169">
        <f t="shared" si="21"/>
        <v>0</v>
      </c>
      <c r="BH41" s="177">
        <f t="shared" si="10"/>
        <v>0</v>
      </c>
      <c r="BI41" s="176">
        <f t="shared" si="22"/>
        <v>0</v>
      </c>
      <c r="BJ41" s="169">
        <f t="shared" si="23"/>
        <v>0</v>
      </c>
      <c r="BK41" s="177">
        <f t="shared" si="11"/>
        <v>0</v>
      </c>
      <c r="BL41" s="176">
        <f t="shared" si="24"/>
        <v>0</v>
      </c>
      <c r="BM41" s="169">
        <f t="shared" si="25"/>
        <v>0</v>
      </c>
      <c r="BN41" s="177">
        <f t="shared" si="12"/>
        <v>0</v>
      </c>
      <c r="BO41" s="182">
        <f t="shared" si="13"/>
        <v>0</v>
      </c>
      <c r="CL41" s="8" t="str">
        <f t="shared" si="1"/>
        <v>NON</v>
      </c>
    </row>
    <row r="42" spans="1:91" s="8" customFormat="1" ht="13.5" customHeight="1" x14ac:dyDescent="0.2">
      <c r="A42" s="36">
        <f t="shared" si="14"/>
        <v>694083</v>
      </c>
      <c r="B42" s="1" t="str">
        <f>IF($B$41="","",IF(EDATE($B$41,1)&lt;=$D$17,EDATE($B$41,1),""))</f>
        <v/>
      </c>
      <c r="C42" s="88" t="str">
        <f>+IF(B42="","","Mai"&amp;" "&amp;YEAR(B42))</f>
        <v/>
      </c>
      <c r="D42" s="101"/>
      <c r="E42" s="37"/>
      <c r="F42" s="187">
        <f t="shared" si="2"/>
        <v>0</v>
      </c>
      <c r="G42" s="187">
        <f t="shared" si="15"/>
        <v>0</v>
      </c>
      <c r="H42" s="109"/>
      <c r="J42" s="109"/>
      <c r="K42" s="110"/>
      <c r="M42" s="88" t="str">
        <f t="shared" si="3"/>
        <v/>
      </c>
      <c r="N42" s="101"/>
      <c r="P42" s="109"/>
      <c r="AV42" s="168">
        <f t="shared" si="4"/>
        <v>0</v>
      </c>
      <c r="AW42" s="170">
        <f t="shared" si="5"/>
        <v>0</v>
      </c>
      <c r="AX42" s="170">
        <f t="shared" si="16"/>
        <v>0</v>
      </c>
      <c r="AY42" s="172">
        <f t="shared" si="6"/>
        <v>0</v>
      </c>
      <c r="AZ42" s="178">
        <f t="shared" si="26"/>
        <v>0</v>
      </c>
      <c r="BA42" s="170">
        <f t="shared" si="17"/>
        <v>0</v>
      </c>
      <c r="BB42" s="179">
        <f t="shared" si="8"/>
        <v>0</v>
      </c>
      <c r="BC42" s="178">
        <f t="shared" si="18"/>
        <v>0</v>
      </c>
      <c r="BD42" s="170">
        <f t="shared" si="19"/>
        <v>0</v>
      </c>
      <c r="BE42" s="179">
        <f t="shared" si="9"/>
        <v>0</v>
      </c>
      <c r="BF42" s="178">
        <f t="shared" si="20"/>
        <v>0</v>
      </c>
      <c r="BG42" s="170">
        <f t="shared" si="21"/>
        <v>0</v>
      </c>
      <c r="BH42" s="179">
        <f t="shared" si="10"/>
        <v>0</v>
      </c>
      <c r="BI42" s="178">
        <f t="shared" si="22"/>
        <v>0</v>
      </c>
      <c r="BJ42" s="170">
        <f t="shared" si="23"/>
        <v>0</v>
      </c>
      <c r="BK42" s="179">
        <f t="shared" si="11"/>
        <v>0</v>
      </c>
      <c r="BL42" s="178">
        <f t="shared" si="24"/>
        <v>0</v>
      </c>
      <c r="BM42" s="170">
        <f t="shared" si="25"/>
        <v>0</v>
      </c>
      <c r="BN42" s="179">
        <f t="shared" si="12"/>
        <v>0</v>
      </c>
      <c r="BO42" s="183">
        <f t="shared" si="13"/>
        <v>0</v>
      </c>
      <c r="CL42" s="8" t="str">
        <f t="shared" si="1"/>
        <v>NON</v>
      </c>
      <c r="CM42" s="8" t="s">
        <v>81</v>
      </c>
    </row>
    <row r="43" spans="1:91" s="8" customFormat="1" ht="12.75" x14ac:dyDescent="0.2">
      <c r="A43" s="4"/>
      <c r="B43" s="6"/>
      <c r="C43" s="38" t="s">
        <v>82</v>
      </c>
      <c r="D43" s="39">
        <f>+N45</f>
        <v>0</v>
      </c>
      <c r="F43" s="125"/>
      <c r="G43" s="125"/>
      <c r="J43" s="40">
        <f>+P45</f>
        <v>0</v>
      </c>
      <c r="BO43" s="166"/>
    </row>
    <row r="44" spans="1:91" s="8" customFormat="1" ht="13.5" customHeight="1" x14ac:dyDescent="0.2">
      <c r="A44" s="36"/>
      <c r="B44" s="1"/>
      <c r="C44" s="41" t="s">
        <v>83</v>
      </c>
      <c r="D44" s="42"/>
      <c r="E44" s="43"/>
      <c r="F44" s="125"/>
      <c r="G44" s="125"/>
      <c r="J44" s="116"/>
      <c r="K44" s="134"/>
      <c r="AY44" s="173">
        <f>SUM(AY31:AY42)</f>
        <v>0</v>
      </c>
      <c r="BB44" s="173">
        <f>SUM(BB31:BB42)</f>
        <v>0</v>
      </c>
      <c r="BE44" s="173">
        <f>SUM(BE31:BE42)</f>
        <v>0</v>
      </c>
      <c r="BH44" s="173">
        <f>SUM(BH31:BH42)</f>
        <v>0</v>
      </c>
      <c r="BK44" s="173">
        <f>SUM(BK31:BK42)</f>
        <v>0</v>
      </c>
      <c r="BN44" s="173">
        <f>SUM(BN31:BN42)</f>
        <v>0</v>
      </c>
      <c r="BO44" s="184">
        <f>SUM(BO31:BO43)</f>
        <v>0</v>
      </c>
      <c r="CM44" s="8" t="str">
        <f>+IF(C49="","NON","OUI")</f>
        <v>NON</v>
      </c>
    </row>
    <row r="45" spans="1:91" s="8" customFormat="1" ht="40.5" customHeight="1" x14ac:dyDescent="0.2">
      <c r="A45" s="36"/>
      <c r="B45" s="1"/>
      <c r="C45" s="157" t="s">
        <v>84</v>
      </c>
      <c r="D45" s="155">
        <f>MIN(ROUNDUP(SUM(D31:D44),0),30)</f>
        <v>0</v>
      </c>
      <c r="E45" s="165">
        <f>SUM(E31:E42)</f>
        <v>0</v>
      </c>
      <c r="F45" s="204" t="str">
        <f>+IF($E$139&gt;$D$139,"TROP DE JOURS pris par rapport aux jours acquis ou aux jours en cours d'acquisition","")</f>
        <v/>
      </c>
      <c r="G45" s="205"/>
      <c r="H45" s="205"/>
      <c r="J45" s="135">
        <f>SUM(J31:J44)</f>
        <v>0</v>
      </c>
      <c r="K45" s="118" t="e">
        <f>"Valeur d'un jour ouvrable de CP en 10% = "&amp;ROUND(J45,2)&amp;" € / "&amp;ROUNDUP(SUM(D31:D42),0)&amp;" jrs X 0,10 = "&amp;ROUND(J45/(ROUNDUP(SUM(D31:D42),0))*0.1,2)&amp;" €"</f>
        <v>#DIV/0!</v>
      </c>
      <c r="N45" s="39">
        <f>SUM(N31:N42)</f>
        <v>0</v>
      </c>
      <c r="P45" s="48">
        <f>SUM(P31:P42)</f>
        <v>0</v>
      </c>
    </row>
    <row r="46" spans="1:91" s="8" customFormat="1" ht="63.75" hidden="1" customHeight="1" x14ac:dyDescent="0.2">
      <c r="A46" s="36"/>
      <c r="B46" s="1"/>
      <c r="C46" s="160" t="s">
        <v>85</v>
      </c>
      <c r="D46" s="161">
        <f>+D45</f>
        <v>0</v>
      </c>
      <c r="E46" s="162">
        <f>+E45</f>
        <v>0</v>
      </c>
      <c r="F46" s="125"/>
      <c r="J46" s="159">
        <f>+J45</f>
        <v>0</v>
      </c>
    </row>
    <row r="47" spans="1:91" s="8" customFormat="1" ht="46.5" customHeight="1" x14ac:dyDescent="0.2">
      <c r="A47" s="36"/>
      <c r="B47" s="1"/>
      <c r="C47" s="215"/>
      <c r="D47" s="215"/>
      <c r="F47" s="125"/>
      <c r="J47" s="116"/>
      <c r="K47" s="114"/>
      <c r="L47" s="93"/>
      <c r="AU47" s="117"/>
      <c r="AW47" s="206" t="str">
        <f>+AW29</f>
        <v>Période : 
Janvier 1900 à Mai 1905</v>
      </c>
      <c r="AX47" s="206"/>
      <c r="AY47" s="206"/>
      <c r="AZ47" s="206" t="e">
        <f>+AZ29</f>
        <v>#VALUE!</v>
      </c>
      <c r="BA47" s="206"/>
      <c r="BB47" s="206"/>
      <c r="BC47" s="206" t="e">
        <f t="shared" ref="BC47" si="27">+BC29</f>
        <v>#VALUE!</v>
      </c>
      <c r="BD47" s="206"/>
      <c r="BE47" s="206"/>
      <c r="BF47" s="206" t="e">
        <f t="shared" ref="BF47" si="28">+BF29</f>
        <v>#VALUE!</v>
      </c>
      <c r="BG47" s="206"/>
      <c r="BH47" s="206"/>
      <c r="BI47" s="206" t="e">
        <f t="shared" ref="BI47" si="29">+BI29</f>
        <v>#VALUE!</v>
      </c>
      <c r="BJ47" s="206"/>
      <c r="BK47" s="206"/>
      <c r="BL47" s="206" t="e">
        <f t="shared" ref="BL47" si="30">+BL29</f>
        <v>#VALUE!</v>
      </c>
      <c r="BM47" s="206"/>
      <c r="BN47" s="206"/>
    </row>
    <row r="48" spans="1:91" s="8" customFormat="1" ht="63.75" customHeight="1" x14ac:dyDescent="0.2">
      <c r="A48" s="4"/>
      <c r="B48" s="6"/>
      <c r="C48" s="27" t="e">
        <f>"Période : "&amp;CHAR(10)&amp;PROPER(+TEXT(B49,"mmmm"))&amp;" "&amp;YEAR(B49)&amp;" à "&amp;IF(D17&gt;=B60,C60,PROPER(+TEXT(D17,"mmmm"))&amp;" "&amp;YEAR(D17))</f>
        <v>#VALUE!</v>
      </c>
      <c r="D48" s="27" t="str">
        <f>+D30</f>
        <v>Jours acquis dans l'année</v>
      </c>
      <c r="E48" s="28" t="s">
        <v>87</v>
      </c>
      <c r="F48" s="28" t="s">
        <v>103</v>
      </c>
      <c r="G48" s="27" t="s">
        <v>94</v>
      </c>
      <c r="H48" s="27" t="s">
        <v>90</v>
      </c>
      <c r="I48" s="105"/>
      <c r="J48" s="27" t="str">
        <f>+J30</f>
        <v>Salaires bruts de l'année (hors indemnités)</v>
      </c>
      <c r="K48" s="27" t="s">
        <v>74</v>
      </c>
      <c r="M48" s="98" t="str">
        <f>+M30</f>
        <v>Mois</v>
      </c>
      <c r="N48" s="98" t="str">
        <f>+N30</f>
        <v>Jrs acquis en arrêt de maladie (2 jrs par mois)</v>
      </c>
      <c r="P48" s="98" t="str">
        <f>+P30</f>
        <v>80% des Salaires bruts correspondants à l'arrêt de maladie</v>
      </c>
      <c r="AV48" s="27" t="s">
        <v>101</v>
      </c>
      <c r="AW48" s="27" t="s">
        <v>87</v>
      </c>
      <c r="AX48" s="27" t="s">
        <v>104</v>
      </c>
      <c r="AY48" s="27" t="s">
        <v>102</v>
      </c>
      <c r="AZ48" s="164" t="s">
        <v>87</v>
      </c>
      <c r="BA48" s="27" t="s">
        <v>104</v>
      </c>
      <c r="BB48" s="27" t="s">
        <v>102</v>
      </c>
      <c r="BC48" s="27" t="s">
        <v>87</v>
      </c>
      <c r="BD48" s="27" t="s">
        <v>104</v>
      </c>
      <c r="BE48" s="27" t="s">
        <v>102</v>
      </c>
      <c r="BF48" s="27" t="s">
        <v>87</v>
      </c>
      <c r="BG48" s="27" t="s">
        <v>104</v>
      </c>
      <c r="BH48" s="27" t="s">
        <v>102</v>
      </c>
      <c r="BI48" s="27" t="s">
        <v>87</v>
      </c>
      <c r="BJ48" s="27" t="s">
        <v>104</v>
      </c>
      <c r="BK48" s="27" t="s">
        <v>102</v>
      </c>
      <c r="BL48" s="27" t="s">
        <v>87</v>
      </c>
      <c r="BM48" s="27" t="s">
        <v>104</v>
      </c>
      <c r="BN48" s="27" t="s">
        <v>102</v>
      </c>
      <c r="BO48" s="27" t="s">
        <v>105</v>
      </c>
      <c r="CL48" s="108" t="s">
        <v>77</v>
      </c>
    </row>
    <row r="49" spans="1:91" s="8" customFormat="1" ht="13.5" customHeight="1" x14ac:dyDescent="0.2">
      <c r="A49" s="36">
        <f>EDATE(A42,1)</f>
        <v>694114</v>
      </c>
      <c r="B49" s="1" t="str">
        <f>IF($B$42="","",IF(EDATE($B$42,1)&lt;=$D$17,EDATE($B$42,1),""))</f>
        <v/>
      </c>
      <c r="C49" s="88" t="str">
        <f>+IF(B49="","","Juin"&amp;" "&amp;YEAR(B49))</f>
        <v/>
      </c>
      <c r="D49" s="101"/>
      <c r="E49" s="37"/>
      <c r="F49" s="187">
        <f>IF(E49&gt;=0.1,G49/26,0)</f>
        <v>0</v>
      </c>
      <c r="G49" s="187">
        <f>+IF(H49="",G42,H49)</f>
        <v>0</v>
      </c>
      <c r="H49" s="109"/>
      <c r="J49" s="109"/>
      <c r="K49" s="110"/>
      <c r="M49" s="88" t="str">
        <f t="shared" ref="M49:M60" si="31">+C49</f>
        <v/>
      </c>
      <c r="N49" s="101"/>
      <c r="P49" s="109"/>
      <c r="AV49" s="185">
        <f>IF(E49&gt;=0.1,G49/26,0)</f>
        <v>0</v>
      </c>
      <c r="AW49" s="169">
        <f>IF($E49&gt;=0.1,+MIN($E49,$D$45-$AX42),0)</f>
        <v>0</v>
      </c>
      <c r="AX49" s="169">
        <f>+AW49+AX42</f>
        <v>0</v>
      </c>
      <c r="AY49" s="171">
        <f>+AW49*$AV49</f>
        <v>0</v>
      </c>
      <c r="AZ49" s="176">
        <f>IF($E49&gt;=0.1,MIN($E49-$AW49,$D$63-$BA42),0)</f>
        <v>0</v>
      </c>
      <c r="BA49" s="169">
        <f>+AZ49+BA42</f>
        <v>0</v>
      </c>
      <c r="BB49" s="175">
        <f>+AZ49*$AV49</f>
        <v>0</v>
      </c>
      <c r="BC49" s="176">
        <f>IF($E49&gt;=0.1,MIN($E49-$AW49-$AZ49,$D$81-$BD42),0)</f>
        <v>0</v>
      </c>
      <c r="BD49" s="169">
        <f>+BC49+BD42</f>
        <v>0</v>
      </c>
      <c r="BE49" s="175">
        <f>+BC49*$AV49</f>
        <v>0</v>
      </c>
      <c r="BF49" s="176">
        <f>IF($E49&gt;=0.1,MIN($E49-$AW49-$AZ49-$BC49,$D$99-$BG42),0)</f>
        <v>0</v>
      </c>
      <c r="BG49" s="169">
        <f>+BF49+BG42</f>
        <v>0</v>
      </c>
      <c r="BH49" s="175">
        <f>+BF49*$AV49</f>
        <v>0</v>
      </c>
      <c r="BI49" s="176">
        <f>IF($E49&gt;=0.1,MIN($E49-$AW49-$AZ49-$BC49-$BF49,$D$117-$BJ42),0)</f>
        <v>0</v>
      </c>
      <c r="BJ49" s="169">
        <f>+BI49+BJ42</f>
        <v>0</v>
      </c>
      <c r="BK49" s="175">
        <f>+BI49*$AV49</f>
        <v>0</v>
      </c>
      <c r="BL49" s="176">
        <f>IF($E49&gt;=0.1,MIN($E49-$AW49-$AZ49-$BC49-$BF49-$BI49,$D$136-$BM42),0)</f>
        <v>0</v>
      </c>
      <c r="BM49" s="169">
        <f>+BL49+BM42</f>
        <v>0</v>
      </c>
      <c r="BN49" s="175">
        <f>+BL49*$AV49</f>
        <v>0</v>
      </c>
      <c r="BO49" s="181">
        <f>+BL49+BI49+BF49+BC49+AZ49+AW49</f>
        <v>0</v>
      </c>
      <c r="CL49" s="8" t="str">
        <f t="shared" ref="CL49:CL60" si="32">IF(B49="","NON",+IF(AND(DATE(YEAR(B49),MONTH(B49),1)&gt;=DATE(YEAR($D$15),MONTH($D$15),1),DATE(YEAR(B49),MONTH(B49),1)&lt;=DATE(YEAR($D$17),MONTH($D$17),1)),"OUI","NON"))</f>
        <v>NON</v>
      </c>
    </row>
    <row r="50" spans="1:91" s="8" customFormat="1" ht="13.5" customHeight="1" x14ac:dyDescent="0.2">
      <c r="A50" s="36">
        <f>EDATE(A49,1)</f>
        <v>694144</v>
      </c>
      <c r="B50" s="1" t="str">
        <f>IF($B$49="","",IF(EDATE($B$49,1)&lt;=$D$17,EDATE($B$49,1),""))</f>
        <v/>
      </c>
      <c r="C50" s="88" t="str">
        <f>+IF(B50="","","Juillet"&amp;" "&amp;YEAR(B50))</f>
        <v/>
      </c>
      <c r="D50" s="101"/>
      <c r="E50" s="37"/>
      <c r="F50" s="187">
        <f t="shared" ref="F50:F60" si="33">IF(E50&gt;=0.1,G50/26,0)</f>
        <v>0</v>
      </c>
      <c r="G50" s="187">
        <f>+IF(H50="",G49,H50)</f>
        <v>0</v>
      </c>
      <c r="H50" s="109"/>
      <c r="J50" s="109"/>
      <c r="K50" s="110"/>
      <c r="M50" s="88" t="str">
        <f t="shared" si="31"/>
        <v/>
      </c>
      <c r="N50" s="101"/>
      <c r="P50" s="109"/>
      <c r="AV50" s="167">
        <f t="shared" ref="AV50:AV60" si="34">IF(E50&gt;=0.1,G50/26,0)</f>
        <v>0</v>
      </c>
      <c r="AW50" s="169">
        <f t="shared" ref="AW50:AW60" si="35">IF($E50&gt;=0.1,+MIN($E50,$D$45-$AX49),0)</f>
        <v>0</v>
      </c>
      <c r="AX50" s="169">
        <f>+AX49+AW50</f>
        <v>0</v>
      </c>
      <c r="AY50" s="171">
        <f t="shared" ref="AY50:AY60" si="36">+AW50*$AV50</f>
        <v>0</v>
      </c>
      <c r="AZ50" s="176">
        <f t="shared" ref="AZ50:AZ54" si="37">IF($E50&gt;=0.1,MIN($E50-$AW50,$D$63-$BA49),0)</f>
        <v>0</v>
      </c>
      <c r="BA50" s="169">
        <f>+BA49+AZ50</f>
        <v>0</v>
      </c>
      <c r="BB50" s="177">
        <f t="shared" ref="BB50:BB60" si="38">+AZ50*$AV50</f>
        <v>0</v>
      </c>
      <c r="BC50" s="176">
        <f>IF($E50&gt;=0.1,MIN($E50-$AW50-$AZ50,$D$81-$BD49),0)</f>
        <v>0</v>
      </c>
      <c r="BD50" s="169">
        <f>+BD49+BC50</f>
        <v>0</v>
      </c>
      <c r="BE50" s="177">
        <f t="shared" ref="BE50:BE60" si="39">+BC50*$AV50</f>
        <v>0</v>
      </c>
      <c r="BF50" s="176">
        <f>IF($E50&gt;=0.1,MIN($E50-$AW50-$AZ50-$BC50,$D$99-$BG49),0)</f>
        <v>0</v>
      </c>
      <c r="BG50" s="169">
        <f>+BG49+BF50</f>
        <v>0</v>
      </c>
      <c r="BH50" s="177">
        <f t="shared" ref="BH50:BH60" si="40">+BF50*$AV50</f>
        <v>0</v>
      </c>
      <c r="BI50" s="176">
        <f>IF($E50&gt;=0.1,MIN($E50-$AW50-$AZ50-$BC50-$BF50,$D$117-$BJ49),0)</f>
        <v>0</v>
      </c>
      <c r="BJ50" s="169">
        <f>+BJ49+BI50</f>
        <v>0</v>
      </c>
      <c r="BK50" s="177">
        <f t="shared" ref="BK50:BK60" si="41">+BI50*$AV50</f>
        <v>0</v>
      </c>
      <c r="BL50" s="176">
        <f>IF($E50&gt;=0.1,MIN($E50-$AW50-$AZ50-$BC50-$BF50-$BI50,$D$136-$BM49),0)</f>
        <v>0</v>
      </c>
      <c r="BM50" s="169">
        <f>+BM49+BL50</f>
        <v>0</v>
      </c>
      <c r="BN50" s="177">
        <f t="shared" ref="BN50:BN60" si="42">+BL50*$AV50</f>
        <v>0</v>
      </c>
      <c r="BO50" s="182">
        <f t="shared" ref="BO50:BO60" si="43">+BL50+BI50+BF50+BC50+AZ50+AW50</f>
        <v>0</v>
      </c>
      <c r="CL50" s="8" t="str">
        <f t="shared" si="32"/>
        <v>NON</v>
      </c>
    </row>
    <row r="51" spans="1:91" s="8" customFormat="1" ht="13.5" customHeight="1" x14ac:dyDescent="0.2">
      <c r="A51" s="36">
        <f t="shared" ref="A51:A60" si="44">EDATE(A50,1)</f>
        <v>694175</v>
      </c>
      <c r="B51" s="1" t="str">
        <f>IF($B$50="","",IF(EDATE($B$50,1)&lt;=$D$17,EDATE($B$50,1),""))</f>
        <v/>
      </c>
      <c r="C51" s="88" t="str">
        <f>+IF(B51="","","Aout"&amp;" "&amp;YEAR(B51))</f>
        <v/>
      </c>
      <c r="D51" s="101"/>
      <c r="E51" s="37"/>
      <c r="F51" s="187">
        <f t="shared" si="33"/>
        <v>0</v>
      </c>
      <c r="G51" s="187">
        <f t="shared" ref="G51:G60" si="45">+IF(H51="",G50,H51)</f>
        <v>0</v>
      </c>
      <c r="H51" s="109"/>
      <c r="J51" s="109"/>
      <c r="K51" s="110"/>
      <c r="M51" s="88" t="str">
        <f t="shared" si="31"/>
        <v/>
      </c>
      <c r="N51" s="101"/>
      <c r="P51" s="109"/>
      <c r="AV51" s="167">
        <f t="shared" si="34"/>
        <v>0</v>
      </c>
      <c r="AW51" s="169">
        <f t="shared" si="35"/>
        <v>0</v>
      </c>
      <c r="AX51" s="169">
        <f t="shared" ref="AX51:AX60" si="46">+AX50+AW51</f>
        <v>0</v>
      </c>
      <c r="AY51" s="171">
        <f t="shared" si="36"/>
        <v>0</v>
      </c>
      <c r="AZ51" s="176">
        <f t="shared" si="37"/>
        <v>0</v>
      </c>
      <c r="BA51" s="169">
        <f t="shared" ref="BA51:BA60" si="47">+BA50+AZ51</f>
        <v>0</v>
      </c>
      <c r="BB51" s="177">
        <f t="shared" si="38"/>
        <v>0</v>
      </c>
      <c r="BC51" s="176">
        <f t="shared" ref="BC51:BC60" si="48">IF($E51&gt;=0.1,MIN($E51-$AW51-$AZ51,$D$81-$BD50),0)</f>
        <v>0</v>
      </c>
      <c r="BD51" s="169">
        <f t="shared" ref="BD51:BD60" si="49">+BD50+BC51</f>
        <v>0</v>
      </c>
      <c r="BE51" s="177">
        <f t="shared" si="39"/>
        <v>0</v>
      </c>
      <c r="BF51" s="176">
        <f t="shared" ref="BF51:BF60" si="50">IF($E51&gt;=0.1,MIN($E51-$AW51-$AZ51-$BC51,$D$99-$BG50),0)</f>
        <v>0</v>
      </c>
      <c r="BG51" s="169">
        <f t="shared" ref="BG51:BG60" si="51">+BG50+BF51</f>
        <v>0</v>
      </c>
      <c r="BH51" s="177">
        <f t="shared" si="40"/>
        <v>0</v>
      </c>
      <c r="BI51" s="176">
        <f t="shared" ref="BI51:BI60" si="52">IF($E51&gt;=0.1,MIN($E51-$AW51-$AZ51-$BC51-$BF51,$D$117-$BJ50),0)</f>
        <v>0</v>
      </c>
      <c r="BJ51" s="169">
        <f t="shared" ref="BJ51:BJ60" si="53">+BJ50+BI51</f>
        <v>0</v>
      </c>
      <c r="BK51" s="177">
        <f t="shared" si="41"/>
        <v>0</v>
      </c>
      <c r="BL51" s="176">
        <f t="shared" ref="BL51:BL60" si="54">IF($E51&gt;=0.1,MIN($E51-$AW51-$AZ51-$BC51-$BF51-$BI51,$D$136-$BM50),0)</f>
        <v>0</v>
      </c>
      <c r="BM51" s="169">
        <f t="shared" ref="BM51:BM60" si="55">+BM50+BL51</f>
        <v>0</v>
      </c>
      <c r="BN51" s="177">
        <f t="shared" si="42"/>
        <v>0</v>
      </c>
      <c r="BO51" s="182">
        <f t="shared" si="43"/>
        <v>0</v>
      </c>
      <c r="CL51" s="8" t="str">
        <f t="shared" si="32"/>
        <v>NON</v>
      </c>
    </row>
    <row r="52" spans="1:91" s="8" customFormat="1" ht="13.5" customHeight="1" x14ac:dyDescent="0.2">
      <c r="A52" s="36">
        <f t="shared" si="44"/>
        <v>694206</v>
      </c>
      <c r="B52" s="1" t="str">
        <f>IF($B$51="","",IF(EDATE($B$51,1)&lt;=$D$17,EDATE($B$51,1),""))</f>
        <v/>
      </c>
      <c r="C52" s="88" t="str">
        <f>+IF(B52="","","Septembre"&amp;" "&amp;YEAR(B52))</f>
        <v/>
      </c>
      <c r="D52" s="101"/>
      <c r="E52" s="37"/>
      <c r="F52" s="187">
        <f t="shared" si="33"/>
        <v>0</v>
      </c>
      <c r="G52" s="187">
        <f t="shared" si="45"/>
        <v>0</v>
      </c>
      <c r="H52" s="109"/>
      <c r="J52" s="109"/>
      <c r="K52" s="110"/>
      <c r="M52" s="88" t="str">
        <f t="shared" si="31"/>
        <v/>
      </c>
      <c r="N52" s="101"/>
      <c r="P52" s="109"/>
      <c r="AV52" s="167">
        <f t="shared" si="34"/>
        <v>0</v>
      </c>
      <c r="AW52" s="169">
        <f t="shared" si="35"/>
        <v>0</v>
      </c>
      <c r="AX52" s="169">
        <f t="shared" si="46"/>
        <v>0</v>
      </c>
      <c r="AY52" s="171">
        <f t="shared" si="36"/>
        <v>0</v>
      </c>
      <c r="AZ52" s="176">
        <f t="shared" si="37"/>
        <v>0</v>
      </c>
      <c r="BA52" s="169">
        <f t="shared" si="47"/>
        <v>0</v>
      </c>
      <c r="BB52" s="177">
        <f t="shared" si="38"/>
        <v>0</v>
      </c>
      <c r="BC52" s="176">
        <f t="shared" si="48"/>
        <v>0</v>
      </c>
      <c r="BD52" s="169">
        <f t="shared" si="49"/>
        <v>0</v>
      </c>
      <c r="BE52" s="177">
        <f t="shared" si="39"/>
        <v>0</v>
      </c>
      <c r="BF52" s="176">
        <f t="shared" si="50"/>
        <v>0</v>
      </c>
      <c r="BG52" s="169">
        <f t="shared" si="51"/>
        <v>0</v>
      </c>
      <c r="BH52" s="177">
        <f t="shared" si="40"/>
        <v>0</v>
      </c>
      <c r="BI52" s="176">
        <f t="shared" si="52"/>
        <v>0</v>
      </c>
      <c r="BJ52" s="169">
        <f t="shared" si="53"/>
        <v>0</v>
      </c>
      <c r="BK52" s="177">
        <f t="shared" si="41"/>
        <v>0</v>
      </c>
      <c r="BL52" s="176">
        <f t="shared" si="54"/>
        <v>0</v>
      </c>
      <c r="BM52" s="169">
        <f t="shared" si="55"/>
        <v>0</v>
      </c>
      <c r="BN52" s="177">
        <f t="shared" si="42"/>
        <v>0</v>
      </c>
      <c r="BO52" s="182">
        <f t="shared" si="43"/>
        <v>0</v>
      </c>
      <c r="CL52" s="8" t="str">
        <f t="shared" si="32"/>
        <v>NON</v>
      </c>
    </row>
    <row r="53" spans="1:91" s="8" customFormat="1" ht="13.5" customHeight="1" x14ac:dyDescent="0.2">
      <c r="A53" s="36">
        <f t="shared" si="44"/>
        <v>694236</v>
      </c>
      <c r="B53" s="1" t="str">
        <f>IF($B$52="","",IF(EDATE($B$52,1)&lt;=$D$17,EDATE($B$52,1),""))</f>
        <v/>
      </c>
      <c r="C53" s="88" t="str">
        <f>+IF(B53="","","Octobre"&amp;" "&amp;YEAR(B53))</f>
        <v/>
      </c>
      <c r="D53" s="101"/>
      <c r="E53" s="37"/>
      <c r="F53" s="187">
        <f t="shared" si="33"/>
        <v>0</v>
      </c>
      <c r="G53" s="187">
        <f t="shared" si="45"/>
        <v>0</v>
      </c>
      <c r="H53" s="109"/>
      <c r="J53" s="109"/>
      <c r="K53" s="110"/>
      <c r="M53" s="88" t="str">
        <f t="shared" si="31"/>
        <v/>
      </c>
      <c r="N53" s="101"/>
      <c r="P53" s="109"/>
      <c r="AV53" s="167">
        <f t="shared" si="34"/>
        <v>0</v>
      </c>
      <c r="AW53" s="169">
        <f t="shared" si="35"/>
        <v>0</v>
      </c>
      <c r="AX53" s="169">
        <f t="shared" si="46"/>
        <v>0</v>
      </c>
      <c r="AY53" s="171">
        <f t="shared" si="36"/>
        <v>0</v>
      </c>
      <c r="AZ53" s="176">
        <f t="shared" si="37"/>
        <v>0</v>
      </c>
      <c r="BA53" s="169">
        <f t="shared" si="47"/>
        <v>0</v>
      </c>
      <c r="BB53" s="177">
        <f t="shared" si="38"/>
        <v>0</v>
      </c>
      <c r="BC53" s="176">
        <f t="shared" si="48"/>
        <v>0</v>
      </c>
      <c r="BD53" s="169">
        <f t="shared" si="49"/>
        <v>0</v>
      </c>
      <c r="BE53" s="177">
        <f t="shared" si="39"/>
        <v>0</v>
      </c>
      <c r="BF53" s="176">
        <f t="shared" si="50"/>
        <v>0</v>
      </c>
      <c r="BG53" s="169">
        <f t="shared" si="51"/>
        <v>0</v>
      </c>
      <c r="BH53" s="177">
        <f t="shared" si="40"/>
        <v>0</v>
      </c>
      <c r="BI53" s="176">
        <f t="shared" si="52"/>
        <v>0</v>
      </c>
      <c r="BJ53" s="169">
        <f t="shared" si="53"/>
        <v>0</v>
      </c>
      <c r="BK53" s="177">
        <f t="shared" si="41"/>
        <v>0</v>
      </c>
      <c r="BL53" s="176">
        <f t="shared" si="54"/>
        <v>0</v>
      </c>
      <c r="BM53" s="169">
        <f t="shared" si="55"/>
        <v>0</v>
      </c>
      <c r="BN53" s="177">
        <f t="shared" si="42"/>
        <v>0</v>
      </c>
      <c r="BO53" s="182">
        <f t="shared" si="43"/>
        <v>0</v>
      </c>
      <c r="CL53" s="8" t="str">
        <f t="shared" si="32"/>
        <v>NON</v>
      </c>
    </row>
    <row r="54" spans="1:91" s="8" customFormat="1" ht="13.5" customHeight="1" x14ac:dyDescent="0.2">
      <c r="A54" s="36">
        <f t="shared" si="44"/>
        <v>694267</v>
      </c>
      <c r="B54" s="1" t="str">
        <f>IF($B$53="","",IF(EDATE($B$53,1)&lt;=$D$17,EDATE($B$53,1),""))</f>
        <v/>
      </c>
      <c r="C54" s="88" t="str">
        <f>+IF(B54="","","Novembre"&amp;" "&amp;YEAR(B54))</f>
        <v/>
      </c>
      <c r="D54" s="101"/>
      <c r="E54" s="37"/>
      <c r="F54" s="187">
        <f t="shared" si="33"/>
        <v>0</v>
      </c>
      <c r="G54" s="187">
        <f t="shared" si="45"/>
        <v>0</v>
      </c>
      <c r="H54" s="109"/>
      <c r="J54" s="109"/>
      <c r="K54" s="110"/>
      <c r="M54" s="88" t="str">
        <f t="shared" si="31"/>
        <v/>
      </c>
      <c r="N54" s="101"/>
      <c r="P54" s="109"/>
      <c r="AV54" s="167">
        <f t="shared" si="34"/>
        <v>0</v>
      </c>
      <c r="AW54" s="169">
        <f t="shared" si="35"/>
        <v>0</v>
      </c>
      <c r="AX54" s="169">
        <f t="shared" si="46"/>
        <v>0</v>
      </c>
      <c r="AY54" s="171">
        <f t="shared" si="36"/>
        <v>0</v>
      </c>
      <c r="AZ54" s="176">
        <f t="shared" si="37"/>
        <v>0</v>
      </c>
      <c r="BA54" s="169">
        <f t="shared" si="47"/>
        <v>0</v>
      </c>
      <c r="BB54" s="177">
        <f t="shared" si="38"/>
        <v>0</v>
      </c>
      <c r="BC54" s="176">
        <f t="shared" si="48"/>
        <v>0</v>
      </c>
      <c r="BD54" s="169">
        <f t="shared" si="49"/>
        <v>0</v>
      </c>
      <c r="BE54" s="177">
        <f t="shared" si="39"/>
        <v>0</v>
      </c>
      <c r="BF54" s="176">
        <f t="shared" si="50"/>
        <v>0</v>
      </c>
      <c r="BG54" s="169">
        <f t="shared" si="51"/>
        <v>0</v>
      </c>
      <c r="BH54" s="177">
        <f t="shared" si="40"/>
        <v>0</v>
      </c>
      <c r="BI54" s="176">
        <f t="shared" si="52"/>
        <v>0</v>
      </c>
      <c r="BJ54" s="169">
        <f t="shared" si="53"/>
        <v>0</v>
      </c>
      <c r="BK54" s="177">
        <f t="shared" si="41"/>
        <v>0</v>
      </c>
      <c r="BL54" s="176">
        <f t="shared" si="54"/>
        <v>0</v>
      </c>
      <c r="BM54" s="169">
        <f t="shared" si="55"/>
        <v>0</v>
      </c>
      <c r="BN54" s="177">
        <f t="shared" si="42"/>
        <v>0</v>
      </c>
      <c r="BO54" s="182">
        <f t="shared" si="43"/>
        <v>0</v>
      </c>
      <c r="CL54" s="8" t="str">
        <f t="shared" si="32"/>
        <v>NON</v>
      </c>
    </row>
    <row r="55" spans="1:91" s="8" customFormat="1" ht="13.5" customHeight="1" x14ac:dyDescent="0.2">
      <c r="A55" s="36">
        <f t="shared" si="44"/>
        <v>694297</v>
      </c>
      <c r="B55" s="1" t="str">
        <f>IF($B$54="","",IF(EDATE($B$54,1)&lt;=$D$17,EDATE($B$54,1),""))</f>
        <v/>
      </c>
      <c r="C55" s="88" t="str">
        <f>+IF(B55="","","Décembre"&amp;" "&amp;YEAR(B55))</f>
        <v/>
      </c>
      <c r="D55" s="101"/>
      <c r="E55" s="37"/>
      <c r="F55" s="187">
        <f t="shared" si="33"/>
        <v>0</v>
      </c>
      <c r="G55" s="187">
        <f t="shared" si="45"/>
        <v>0</v>
      </c>
      <c r="H55" s="109"/>
      <c r="J55" s="109"/>
      <c r="K55" s="110"/>
      <c r="M55" s="88" t="str">
        <f t="shared" si="31"/>
        <v/>
      </c>
      <c r="N55" s="101"/>
      <c r="P55" s="109"/>
      <c r="AV55" s="167">
        <f t="shared" si="34"/>
        <v>0</v>
      </c>
      <c r="AW55" s="169">
        <f t="shared" si="35"/>
        <v>0</v>
      </c>
      <c r="AX55" s="169">
        <f t="shared" si="46"/>
        <v>0</v>
      </c>
      <c r="AY55" s="171">
        <f t="shared" si="36"/>
        <v>0</v>
      </c>
      <c r="AZ55" s="176">
        <f>IF($E55&gt;=0.1,MIN($E55-$AW55,$D$63-$BA54),0)</f>
        <v>0</v>
      </c>
      <c r="BA55" s="169">
        <f t="shared" si="47"/>
        <v>0</v>
      </c>
      <c r="BB55" s="177">
        <f t="shared" si="38"/>
        <v>0</v>
      </c>
      <c r="BC55" s="176">
        <f t="shared" si="48"/>
        <v>0</v>
      </c>
      <c r="BD55" s="169">
        <f t="shared" si="49"/>
        <v>0</v>
      </c>
      <c r="BE55" s="177">
        <f t="shared" si="39"/>
        <v>0</v>
      </c>
      <c r="BF55" s="176">
        <f t="shared" si="50"/>
        <v>0</v>
      </c>
      <c r="BG55" s="169">
        <f t="shared" si="51"/>
        <v>0</v>
      </c>
      <c r="BH55" s="177">
        <f t="shared" si="40"/>
        <v>0</v>
      </c>
      <c r="BI55" s="176">
        <f t="shared" si="52"/>
        <v>0</v>
      </c>
      <c r="BJ55" s="169">
        <f t="shared" si="53"/>
        <v>0</v>
      </c>
      <c r="BK55" s="177">
        <f t="shared" si="41"/>
        <v>0</v>
      </c>
      <c r="BL55" s="176">
        <f t="shared" si="54"/>
        <v>0</v>
      </c>
      <c r="BM55" s="169">
        <f t="shared" si="55"/>
        <v>0</v>
      </c>
      <c r="BN55" s="177">
        <f t="shared" si="42"/>
        <v>0</v>
      </c>
      <c r="BO55" s="182">
        <f t="shared" si="43"/>
        <v>0</v>
      </c>
      <c r="CL55" s="8" t="str">
        <f t="shared" si="32"/>
        <v>NON</v>
      </c>
    </row>
    <row r="56" spans="1:91" s="8" customFormat="1" ht="13.5" customHeight="1" x14ac:dyDescent="0.2">
      <c r="A56" s="36">
        <f t="shared" si="44"/>
        <v>694328</v>
      </c>
      <c r="B56" s="1" t="str">
        <f>IF($B$55="","",IF(EDATE($B$55,1)&lt;=$D$17,EDATE($B$55,1),""))</f>
        <v/>
      </c>
      <c r="C56" s="88" t="str">
        <f>+IF(B56="","","Janvier"&amp;" "&amp;YEAR(B56))</f>
        <v/>
      </c>
      <c r="D56" s="101"/>
      <c r="E56" s="37"/>
      <c r="F56" s="187">
        <f t="shared" si="33"/>
        <v>0</v>
      </c>
      <c r="G56" s="187">
        <f t="shared" si="45"/>
        <v>0</v>
      </c>
      <c r="H56" s="109"/>
      <c r="J56" s="109"/>
      <c r="K56" s="110"/>
      <c r="M56" s="88" t="str">
        <f t="shared" si="31"/>
        <v/>
      </c>
      <c r="N56" s="101"/>
      <c r="P56" s="109"/>
      <c r="AV56" s="167">
        <f t="shared" si="34"/>
        <v>0</v>
      </c>
      <c r="AW56" s="169">
        <f t="shared" si="35"/>
        <v>0</v>
      </c>
      <c r="AX56" s="169">
        <f t="shared" si="46"/>
        <v>0</v>
      </c>
      <c r="AY56" s="171">
        <f t="shared" si="36"/>
        <v>0</v>
      </c>
      <c r="AZ56" s="176">
        <f t="shared" ref="AZ56:AZ60" si="56">IF($E56&gt;=0.1,MIN($E56-$AW56,$D$63-$BA55),0)</f>
        <v>0</v>
      </c>
      <c r="BA56" s="169">
        <f t="shared" si="47"/>
        <v>0</v>
      </c>
      <c r="BB56" s="177">
        <f t="shared" si="38"/>
        <v>0</v>
      </c>
      <c r="BC56" s="176">
        <f t="shared" si="48"/>
        <v>0</v>
      </c>
      <c r="BD56" s="169">
        <f t="shared" si="49"/>
        <v>0</v>
      </c>
      <c r="BE56" s="177">
        <f t="shared" si="39"/>
        <v>0</v>
      </c>
      <c r="BF56" s="176">
        <f t="shared" si="50"/>
        <v>0</v>
      </c>
      <c r="BG56" s="169">
        <f t="shared" si="51"/>
        <v>0</v>
      </c>
      <c r="BH56" s="177">
        <f t="shared" si="40"/>
        <v>0</v>
      </c>
      <c r="BI56" s="176">
        <f t="shared" si="52"/>
        <v>0</v>
      </c>
      <c r="BJ56" s="169">
        <f t="shared" si="53"/>
        <v>0</v>
      </c>
      <c r="BK56" s="177">
        <f t="shared" si="41"/>
        <v>0</v>
      </c>
      <c r="BL56" s="176">
        <f t="shared" si="54"/>
        <v>0</v>
      </c>
      <c r="BM56" s="169">
        <f t="shared" si="55"/>
        <v>0</v>
      </c>
      <c r="BN56" s="177">
        <f t="shared" si="42"/>
        <v>0</v>
      </c>
      <c r="BO56" s="182">
        <f t="shared" si="43"/>
        <v>0</v>
      </c>
      <c r="CL56" s="8" t="str">
        <f t="shared" si="32"/>
        <v>NON</v>
      </c>
    </row>
    <row r="57" spans="1:91" s="8" customFormat="1" ht="13.5" customHeight="1" x14ac:dyDescent="0.2">
      <c r="A57" s="36">
        <f t="shared" si="44"/>
        <v>694359</v>
      </c>
      <c r="B57" s="1" t="str">
        <f>IF($B$56="","",IF(EDATE($B$56,1)&lt;=$D$17,EDATE($B$56,1),""))</f>
        <v/>
      </c>
      <c r="C57" s="88" t="str">
        <f>+IF(B57="","","Février"&amp;" "&amp;YEAR(B57))</f>
        <v/>
      </c>
      <c r="D57" s="101"/>
      <c r="E57" s="37"/>
      <c r="F57" s="187">
        <f t="shared" si="33"/>
        <v>0</v>
      </c>
      <c r="G57" s="187">
        <f t="shared" si="45"/>
        <v>0</v>
      </c>
      <c r="H57" s="109"/>
      <c r="J57" s="109"/>
      <c r="K57" s="110"/>
      <c r="M57" s="88" t="str">
        <f t="shared" si="31"/>
        <v/>
      </c>
      <c r="N57" s="101"/>
      <c r="P57" s="109"/>
      <c r="AV57" s="167">
        <f t="shared" si="34"/>
        <v>0</v>
      </c>
      <c r="AW57" s="169">
        <f t="shared" si="35"/>
        <v>0</v>
      </c>
      <c r="AX57" s="169">
        <f t="shared" si="46"/>
        <v>0</v>
      </c>
      <c r="AY57" s="171">
        <f t="shared" si="36"/>
        <v>0</v>
      </c>
      <c r="AZ57" s="176">
        <f t="shared" si="56"/>
        <v>0</v>
      </c>
      <c r="BA57" s="169">
        <f t="shared" si="47"/>
        <v>0</v>
      </c>
      <c r="BB57" s="177">
        <f t="shared" si="38"/>
        <v>0</v>
      </c>
      <c r="BC57" s="176">
        <f t="shared" si="48"/>
        <v>0</v>
      </c>
      <c r="BD57" s="169">
        <f t="shared" si="49"/>
        <v>0</v>
      </c>
      <c r="BE57" s="177">
        <f t="shared" si="39"/>
        <v>0</v>
      </c>
      <c r="BF57" s="176">
        <f t="shared" si="50"/>
        <v>0</v>
      </c>
      <c r="BG57" s="169">
        <f t="shared" si="51"/>
        <v>0</v>
      </c>
      <c r="BH57" s="177">
        <f t="shared" si="40"/>
        <v>0</v>
      </c>
      <c r="BI57" s="176">
        <f t="shared" si="52"/>
        <v>0</v>
      </c>
      <c r="BJ57" s="169">
        <f t="shared" si="53"/>
        <v>0</v>
      </c>
      <c r="BK57" s="177">
        <f t="shared" si="41"/>
        <v>0</v>
      </c>
      <c r="BL57" s="176">
        <f t="shared" si="54"/>
        <v>0</v>
      </c>
      <c r="BM57" s="169">
        <f t="shared" si="55"/>
        <v>0</v>
      </c>
      <c r="BN57" s="177">
        <f t="shared" si="42"/>
        <v>0</v>
      </c>
      <c r="BO57" s="182">
        <f t="shared" si="43"/>
        <v>0</v>
      </c>
      <c r="CL57" s="8" t="str">
        <f t="shared" si="32"/>
        <v>NON</v>
      </c>
    </row>
    <row r="58" spans="1:91" s="8" customFormat="1" ht="13.5" customHeight="1" x14ac:dyDescent="0.2">
      <c r="A58" s="36">
        <f t="shared" si="44"/>
        <v>694387</v>
      </c>
      <c r="B58" s="1" t="str">
        <f>IF($B$57="","",IF(EDATE($B$57,1)&lt;=$D$17,EDATE($B$57,1),""))</f>
        <v/>
      </c>
      <c r="C58" s="88" t="str">
        <f>+IF(B58="","","Mars"&amp;" "&amp;YEAR(B58))</f>
        <v/>
      </c>
      <c r="D58" s="101"/>
      <c r="E58" s="37"/>
      <c r="F58" s="187">
        <f t="shared" si="33"/>
        <v>0</v>
      </c>
      <c r="G58" s="187">
        <f t="shared" si="45"/>
        <v>0</v>
      </c>
      <c r="H58" s="109"/>
      <c r="J58" s="109"/>
      <c r="K58" s="110"/>
      <c r="M58" s="88" t="str">
        <f t="shared" si="31"/>
        <v/>
      </c>
      <c r="N58" s="101"/>
      <c r="P58" s="109"/>
      <c r="AV58" s="167">
        <f t="shared" si="34"/>
        <v>0</v>
      </c>
      <c r="AW58" s="169">
        <f t="shared" si="35"/>
        <v>0</v>
      </c>
      <c r="AX58" s="169">
        <f t="shared" si="46"/>
        <v>0</v>
      </c>
      <c r="AY58" s="171">
        <f t="shared" si="36"/>
        <v>0</v>
      </c>
      <c r="AZ58" s="176">
        <f t="shared" si="56"/>
        <v>0</v>
      </c>
      <c r="BA58" s="169">
        <f t="shared" si="47"/>
        <v>0</v>
      </c>
      <c r="BB58" s="177">
        <f t="shared" si="38"/>
        <v>0</v>
      </c>
      <c r="BC58" s="176">
        <f t="shared" si="48"/>
        <v>0</v>
      </c>
      <c r="BD58" s="169">
        <f t="shared" si="49"/>
        <v>0</v>
      </c>
      <c r="BE58" s="177">
        <f t="shared" si="39"/>
        <v>0</v>
      </c>
      <c r="BF58" s="176">
        <f t="shared" si="50"/>
        <v>0</v>
      </c>
      <c r="BG58" s="169">
        <f t="shared" si="51"/>
        <v>0</v>
      </c>
      <c r="BH58" s="177">
        <f t="shared" si="40"/>
        <v>0</v>
      </c>
      <c r="BI58" s="176">
        <f t="shared" si="52"/>
        <v>0</v>
      </c>
      <c r="BJ58" s="169">
        <f t="shared" si="53"/>
        <v>0</v>
      </c>
      <c r="BK58" s="177">
        <f t="shared" si="41"/>
        <v>0</v>
      </c>
      <c r="BL58" s="176">
        <f t="shared" si="54"/>
        <v>0</v>
      </c>
      <c r="BM58" s="169">
        <f t="shared" si="55"/>
        <v>0</v>
      </c>
      <c r="BN58" s="177">
        <f t="shared" si="42"/>
        <v>0</v>
      </c>
      <c r="BO58" s="182">
        <f t="shared" si="43"/>
        <v>0</v>
      </c>
      <c r="CL58" s="8" t="str">
        <f t="shared" si="32"/>
        <v>NON</v>
      </c>
    </row>
    <row r="59" spans="1:91" s="8" customFormat="1" ht="13.5" customHeight="1" x14ac:dyDescent="0.2">
      <c r="A59" s="36">
        <f t="shared" si="44"/>
        <v>694418</v>
      </c>
      <c r="B59" s="1" t="str">
        <f>IF($B$58="","",IF(EDATE($B$58,1)&lt;=$D$17,EDATE($B$58,1),""))</f>
        <v/>
      </c>
      <c r="C59" s="88" t="str">
        <f>+IF(B59="","","Avril"&amp;" "&amp;YEAR(B59))</f>
        <v/>
      </c>
      <c r="D59" s="101"/>
      <c r="E59" s="37"/>
      <c r="F59" s="187">
        <f t="shared" si="33"/>
        <v>0</v>
      </c>
      <c r="G59" s="187">
        <f t="shared" si="45"/>
        <v>0</v>
      </c>
      <c r="H59" s="109"/>
      <c r="J59" s="109"/>
      <c r="K59" s="110"/>
      <c r="M59" s="88" t="str">
        <f t="shared" si="31"/>
        <v/>
      </c>
      <c r="N59" s="101"/>
      <c r="P59" s="109"/>
      <c r="AV59" s="167">
        <f t="shared" si="34"/>
        <v>0</v>
      </c>
      <c r="AW59" s="169">
        <f t="shared" si="35"/>
        <v>0</v>
      </c>
      <c r="AX59" s="169">
        <f t="shared" si="46"/>
        <v>0</v>
      </c>
      <c r="AY59" s="171">
        <f t="shared" si="36"/>
        <v>0</v>
      </c>
      <c r="AZ59" s="176">
        <f t="shared" si="56"/>
        <v>0</v>
      </c>
      <c r="BA59" s="169">
        <f t="shared" si="47"/>
        <v>0</v>
      </c>
      <c r="BB59" s="177">
        <f t="shared" si="38"/>
        <v>0</v>
      </c>
      <c r="BC59" s="176">
        <f t="shared" si="48"/>
        <v>0</v>
      </c>
      <c r="BD59" s="169">
        <f t="shared" si="49"/>
        <v>0</v>
      </c>
      <c r="BE59" s="177">
        <f t="shared" si="39"/>
        <v>0</v>
      </c>
      <c r="BF59" s="176">
        <f t="shared" si="50"/>
        <v>0</v>
      </c>
      <c r="BG59" s="169">
        <f t="shared" si="51"/>
        <v>0</v>
      </c>
      <c r="BH59" s="177">
        <f t="shared" si="40"/>
        <v>0</v>
      </c>
      <c r="BI59" s="176">
        <f t="shared" si="52"/>
        <v>0</v>
      </c>
      <c r="BJ59" s="169">
        <f t="shared" si="53"/>
        <v>0</v>
      </c>
      <c r="BK59" s="177">
        <f t="shared" si="41"/>
        <v>0</v>
      </c>
      <c r="BL59" s="176">
        <f t="shared" si="54"/>
        <v>0</v>
      </c>
      <c r="BM59" s="169">
        <f t="shared" si="55"/>
        <v>0</v>
      </c>
      <c r="BN59" s="177">
        <f t="shared" si="42"/>
        <v>0</v>
      </c>
      <c r="BO59" s="182">
        <f t="shared" si="43"/>
        <v>0</v>
      </c>
      <c r="CL59" s="8" t="str">
        <f t="shared" si="32"/>
        <v>NON</v>
      </c>
    </row>
    <row r="60" spans="1:91" s="8" customFormat="1" ht="13.5" customHeight="1" x14ac:dyDescent="0.2">
      <c r="A60" s="36">
        <f t="shared" si="44"/>
        <v>694448</v>
      </c>
      <c r="B60" s="1" t="str">
        <f>IF($B$59="","",IF(EDATE($B$59,1)&lt;=$D$17,EDATE($B$59,1),""))</f>
        <v/>
      </c>
      <c r="C60" s="88" t="str">
        <f>+IF(B60="","","Mai"&amp;" "&amp;YEAR(B60))</f>
        <v/>
      </c>
      <c r="D60" s="101"/>
      <c r="E60" s="37"/>
      <c r="F60" s="187">
        <f t="shared" si="33"/>
        <v>0</v>
      </c>
      <c r="G60" s="187">
        <f t="shared" si="45"/>
        <v>0</v>
      </c>
      <c r="H60" s="109"/>
      <c r="J60" s="109"/>
      <c r="K60" s="110"/>
      <c r="M60" s="88" t="str">
        <f t="shared" si="31"/>
        <v/>
      </c>
      <c r="N60" s="101"/>
      <c r="P60" s="109"/>
      <c r="AV60" s="168">
        <f t="shared" si="34"/>
        <v>0</v>
      </c>
      <c r="AW60" s="170">
        <f t="shared" si="35"/>
        <v>0</v>
      </c>
      <c r="AX60" s="170">
        <f t="shared" si="46"/>
        <v>0</v>
      </c>
      <c r="AY60" s="172">
        <f t="shared" si="36"/>
        <v>0</v>
      </c>
      <c r="AZ60" s="178">
        <f t="shared" si="56"/>
        <v>0</v>
      </c>
      <c r="BA60" s="170">
        <f t="shared" si="47"/>
        <v>0</v>
      </c>
      <c r="BB60" s="179">
        <f t="shared" si="38"/>
        <v>0</v>
      </c>
      <c r="BC60" s="178">
        <f t="shared" si="48"/>
        <v>0</v>
      </c>
      <c r="BD60" s="170">
        <f t="shared" si="49"/>
        <v>0</v>
      </c>
      <c r="BE60" s="179">
        <f t="shared" si="39"/>
        <v>0</v>
      </c>
      <c r="BF60" s="178">
        <f t="shared" si="50"/>
        <v>0</v>
      </c>
      <c r="BG60" s="170">
        <f t="shared" si="51"/>
        <v>0</v>
      </c>
      <c r="BH60" s="179">
        <f t="shared" si="40"/>
        <v>0</v>
      </c>
      <c r="BI60" s="178">
        <f t="shared" si="52"/>
        <v>0</v>
      </c>
      <c r="BJ60" s="170">
        <f t="shared" si="53"/>
        <v>0</v>
      </c>
      <c r="BK60" s="179">
        <f t="shared" si="41"/>
        <v>0</v>
      </c>
      <c r="BL60" s="178">
        <f t="shared" si="54"/>
        <v>0</v>
      </c>
      <c r="BM60" s="170">
        <f t="shared" si="55"/>
        <v>0</v>
      </c>
      <c r="BN60" s="179">
        <f t="shared" si="42"/>
        <v>0</v>
      </c>
      <c r="BO60" s="183">
        <f t="shared" si="43"/>
        <v>0</v>
      </c>
      <c r="CL60" s="8" t="str">
        <f t="shared" si="32"/>
        <v>NON</v>
      </c>
      <c r="CM60" s="8" t="s">
        <v>81</v>
      </c>
    </row>
    <row r="61" spans="1:91" s="8" customFormat="1" ht="12.75" x14ac:dyDescent="0.2">
      <c r="A61" s="4"/>
      <c r="B61" s="6"/>
      <c r="C61" s="38" t="s">
        <v>82</v>
      </c>
      <c r="D61" s="39">
        <f>+N63</f>
        <v>0</v>
      </c>
      <c r="F61" s="125"/>
      <c r="G61" s="125"/>
      <c r="J61" s="40">
        <f>+P63</f>
        <v>0</v>
      </c>
      <c r="BO61" s="166"/>
    </row>
    <row r="62" spans="1:91" s="8" customFormat="1" ht="13.5" customHeight="1" x14ac:dyDescent="0.2">
      <c r="A62" s="36"/>
      <c r="B62" s="1"/>
      <c r="C62" s="41" t="s">
        <v>83</v>
      </c>
      <c r="D62" s="42"/>
      <c r="E62" s="43"/>
      <c r="F62" s="125"/>
      <c r="G62" s="125"/>
      <c r="H62" s="91"/>
      <c r="J62" s="116"/>
      <c r="K62" s="134"/>
      <c r="AY62" s="173">
        <f>SUM(AY49:AY60)</f>
        <v>0</v>
      </c>
      <c r="BB62" s="173">
        <f>SUM(BB49:BB60)</f>
        <v>0</v>
      </c>
      <c r="BE62" s="173">
        <f>SUM(BE49:BE60)</f>
        <v>0</v>
      </c>
      <c r="BH62" s="173">
        <f>SUM(BH49:BH60)</f>
        <v>0</v>
      </c>
      <c r="BK62" s="173">
        <f>SUM(BK49:BK60)</f>
        <v>0</v>
      </c>
      <c r="BN62" s="173">
        <f>SUM(BN49:BN60)</f>
        <v>0</v>
      </c>
      <c r="BO62" s="184">
        <f>SUM(BO49:BO61)</f>
        <v>0</v>
      </c>
      <c r="CM62" s="8" t="str">
        <f>+IF(C67="","NON","OUI")</f>
        <v>NON</v>
      </c>
    </row>
    <row r="63" spans="1:91" s="8" customFormat="1" ht="40.5" customHeight="1" x14ac:dyDescent="0.2">
      <c r="A63" s="36"/>
      <c r="B63" s="1"/>
      <c r="C63" s="157" t="s">
        <v>84</v>
      </c>
      <c r="D63" s="155">
        <f>MIN(ROUNDUP(SUM(D49:D62),0),30)</f>
        <v>0</v>
      </c>
      <c r="E63" s="165">
        <f>SUM(E49:E60)</f>
        <v>0</v>
      </c>
      <c r="F63" s="204" t="str">
        <f>+IF($E$139&gt;$D$139,"TROP DE JOURS pris par rapport aux jours acquis ou aux jours en cours d'acquisition","")</f>
        <v/>
      </c>
      <c r="G63" s="205"/>
      <c r="H63" s="205"/>
      <c r="J63" s="135">
        <f>SUM(J49:J62)</f>
        <v>0</v>
      </c>
      <c r="K63" s="118" t="e">
        <f>"Valeur d'un jour ouvrable de CP en 10% = "&amp;ROUND(J63,2)&amp;" € / "&amp;ROUNDUP(SUM(D49:D60),0)&amp;" jrs X 0,10 = "&amp;ROUND(J63/(ROUNDUP(SUM(D49:D60),0))*0.1,2)&amp;" €"</f>
        <v>#DIV/0!</v>
      </c>
      <c r="N63" s="39">
        <f>SUM(N49:N60)</f>
        <v>0</v>
      </c>
      <c r="P63" s="48">
        <f>SUM(P49:P60)</f>
        <v>0</v>
      </c>
    </row>
    <row r="64" spans="1:91" s="8" customFormat="1" ht="29.25" hidden="1" customHeight="1" thickBot="1" x14ac:dyDescent="0.25">
      <c r="A64" s="36"/>
      <c r="B64" s="1"/>
      <c r="C64" s="156" t="s">
        <v>85</v>
      </c>
      <c r="D64" s="153">
        <f>+D46+D63</f>
        <v>0</v>
      </c>
      <c r="E64" s="154">
        <f>+E46+E63</f>
        <v>0</v>
      </c>
      <c r="J64" s="52">
        <f>+J46+J63</f>
        <v>0</v>
      </c>
      <c r="K64" s="114"/>
      <c r="L64" s="93"/>
    </row>
    <row r="65" spans="1:91" s="8" customFormat="1" ht="40.5" customHeight="1" x14ac:dyDescent="0.2">
      <c r="A65" s="36"/>
      <c r="B65" s="1"/>
      <c r="C65" s="58"/>
      <c r="D65" s="59"/>
      <c r="E65" s="60"/>
      <c r="J65" s="61"/>
      <c r="K65" s="114"/>
      <c r="AW65" s="206" t="str">
        <f>+AW47</f>
        <v>Période : 
Janvier 1900 à Mai 1905</v>
      </c>
      <c r="AX65" s="206"/>
      <c r="AY65" s="206"/>
      <c r="AZ65" s="206" t="e">
        <f>+AZ47</f>
        <v>#VALUE!</v>
      </c>
      <c r="BA65" s="206"/>
      <c r="BB65" s="206"/>
      <c r="BC65" s="206" t="e">
        <f t="shared" ref="BC65" si="57">+BC47</f>
        <v>#VALUE!</v>
      </c>
      <c r="BD65" s="206"/>
      <c r="BE65" s="206"/>
      <c r="BF65" s="206" t="e">
        <f t="shared" ref="BF65" si="58">+BF47</f>
        <v>#VALUE!</v>
      </c>
      <c r="BG65" s="206"/>
      <c r="BH65" s="206"/>
      <c r="BI65" s="206" t="e">
        <f t="shared" ref="BI65" si="59">+BI47</f>
        <v>#VALUE!</v>
      </c>
      <c r="BJ65" s="206"/>
      <c r="BK65" s="206"/>
      <c r="BL65" s="206" t="e">
        <f t="shared" ref="BL65" si="60">+BL47</f>
        <v>#VALUE!</v>
      </c>
      <c r="BM65" s="206"/>
      <c r="BN65" s="206"/>
    </row>
    <row r="66" spans="1:91" s="8" customFormat="1" ht="63.75" x14ac:dyDescent="0.2">
      <c r="A66" s="4"/>
      <c r="B66" s="6"/>
      <c r="C66" s="27" t="e">
        <f>"Période de : "&amp;CHAR(10)&amp;PROPER(+TEXT(B67,"mmmm"))&amp;" "&amp;YEAR(B67)&amp;" à "&amp;IF(D17&gt;=B78,C78,PROPER(+TEXT(D17,"mmmm"))&amp;" "&amp;YEAR(D17))</f>
        <v>#VALUE!</v>
      </c>
      <c r="D66" s="27" t="str">
        <f>+D48</f>
        <v>Jours acquis dans l'année</v>
      </c>
      <c r="E66" s="28" t="s">
        <v>87</v>
      </c>
      <c r="F66" s="28" t="s">
        <v>103</v>
      </c>
      <c r="G66" s="27" t="s">
        <v>94</v>
      </c>
      <c r="H66" s="27" t="s">
        <v>90</v>
      </c>
      <c r="I66" s="105"/>
      <c r="J66" s="27" t="str">
        <f>+J48</f>
        <v>Salaires bruts de l'année (hors indemnités)</v>
      </c>
      <c r="K66" s="27" t="s">
        <v>74</v>
      </c>
      <c r="M66" s="98" t="str">
        <f>+M30</f>
        <v>Mois</v>
      </c>
      <c r="N66" s="98" t="str">
        <f>+N30</f>
        <v>Jrs acquis en arrêt de maladie (2 jrs par mois)</v>
      </c>
      <c r="P66" s="98" t="str">
        <f>+P30</f>
        <v>80% des Salaires bruts correspondants à l'arrêt de maladie</v>
      </c>
      <c r="AV66" s="27" t="s">
        <v>101</v>
      </c>
      <c r="AW66" s="27" t="s">
        <v>87</v>
      </c>
      <c r="AX66" s="27" t="s">
        <v>104</v>
      </c>
      <c r="AY66" s="27" t="s">
        <v>102</v>
      </c>
      <c r="AZ66" s="164" t="s">
        <v>87</v>
      </c>
      <c r="BA66" s="27" t="s">
        <v>104</v>
      </c>
      <c r="BB66" s="27" t="s">
        <v>102</v>
      </c>
      <c r="BC66" s="27" t="s">
        <v>87</v>
      </c>
      <c r="BD66" s="27" t="s">
        <v>104</v>
      </c>
      <c r="BE66" s="27" t="s">
        <v>102</v>
      </c>
      <c r="BF66" s="27" t="s">
        <v>87</v>
      </c>
      <c r="BG66" s="27" t="s">
        <v>104</v>
      </c>
      <c r="BH66" s="27" t="s">
        <v>102</v>
      </c>
      <c r="BI66" s="27" t="s">
        <v>87</v>
      </c>
      <c r="BJ66" s="27" t="s">
        <v>104</v>
      </c>
      <c r="BK66" s="27" t="s">
        <v>102</v>
      </c>
      <c r="BL66" s="27" t="s">
        <v>87</v>
      </c>
      <c r="BM66" s="27" t="s">
        <v>104</v>
      </c>
      <c r="BN66" s="27" t="s">
        <v>102</v>
      </c>
      <c r="BO66" s="27" t="s">
        <v>105</v>
      </c>
      <c r="CL66" s="108" t="s">
        <v>77</v>
      </c>
    </row>
    <row r="67" spans="1:91" s="8" customFormat="1" ht="13.5" customHeight="1" x14ac:dyDescent="0.2">
      <c r="A67" s="36">
        <f>EDATE(A60,1)</f>
        <v>694479</v>
      </c>
      <c r="B67" s="1" t="str">
        <f>IF($B$60="","",IF(EDATE($B$60,1)&lt;=$D$17,EDATE($B$60,1),""))</f>
        <v/>
      </c>
      <c r="C67" s="88" t="str">
        <f>+IF(B67="","","Juin"&amp;" "&amp;YEAR(B67))</f>
        <v/>
      </c>
      <c r="D67" s="101"/>
      <c r="E67" s="37"/>
      <c r="F67" s="187">
        <f>IF(E67&gt;=0.1,G67/26,0)</f>
        <v>0</v>
      </c>
      <c r="G67" s="187">
        <f>+IF(H67="",G60,H67)</f>
        <v>0</v>
      </c>
      <c r="H67" s="109"/>
      <c r="J67" s="109"/>
      <c r="K67" s="110"/>
      <c r="M67" s="88" t="str">
        <f>+C67</f>
        <v/>
      </c>
      <c r="N67" s="101"/>
      <c r="P67" s="109"/>
      <c r="AV67" s="185">
        <f>IF(E67&gt;=0.1,G67/26,0)</f>
        <v>0</v>
      </c>
      <c r="AW67" s="169">
        <f>IF($E67&gt;=0.1,+MIN($E67,$D$45-$AX60),0)</f>
        <v>0</v>
      </c>
      <c r="AX67" s="169">
        <f>+AW67+AX60</f>
        <v>0</v>
      </c>
      <c r="AY67" s="171">
        <f>+AW67*$AV67</f>
        <v>0</v>
      </c>
      <c r="AZ67" s="176">
        <f>IF($E67&gt;=0.1,MIN($E67-$AW67,$D$63-$BA60),0)</f>
        <v>0</v>
      </c>
      <c r="BA67" s="169">
        <f>+AZ67+BA60</f>
        <v>0</v>
      </c>
      <c r="BB67" s="175">
        <f>+AZ67*$AV67</f>
        <v>0</v>
      </c>
      <c r="BC67" s="176">
        <f>IF($E67&gt;=0.1,MIN($E67-$AW67-$AZ67,$D$81-$BD60),0)</f>
        <v>0</v>
      </c>
      <c r="BD67" s="169">
        <f>+BC67+BD60</f>
        <v>0</v>
      </c>
      <c r="BE67" s="175">
        <f>+BC67*$AV67</f>
        <v>0</v>
      </c>
      <c r="BF67" s="176">
        <f>IF($E67&gt;=0.1,MIN($E67-$AW67-$AZ67-$BC67,$D$99-$BG60),0)</f>
        <v>0</v>
      </c>
      <c r="BG67" s="169">
        <f>+BF67+BG60</f>
        <v>0</v>
      </c>
      <c r="BH67" s="175">
        <f>+BF67*$AV67</f>
        <v>0</v>
      </c>
      <c r="BI67" s="176">
        <f>IF($E67&gt;=0.1,MIN($E67-$AW67-$AZ67-$BC67-$BF67,$D$117-$BJ60),0)</f>
        <v>0</v>
      </c>
      <c r="BJ67" s="169">
        <f>+BI67+BJ60</f>
        <v>0</v>
      </c>
      <c r="BK67" s="175">
        <f>+BI67*$AV67</f>
        <v>0</v>
      </c>
      <c r="BL67" s="176">
        <f>IF($E67&gt;=0.1,MIN($E67-$AW67-$AZ67-$BC67-$BF67-$BI67,$D$136-$BM60),0)</f>
        <v>0</v>
      </c>
      <c r="BM67" s="169">
        <f>+BL67+BM60</f>
        <v>0</v>
      </c>
      <c r="BN67" s="175">
        <f>+BL67*$AV67</f>
        <v>0</v>
      </c>
      <c r="BO67" s="181">
        <f>+BL67+BI67+BF67+BC67+AZ67+AW67</f>
        <v>0</v>
      </c>
      <c r="CL67" s="8" t="str">
        <f t="shared" ref="CL67:CL78" si="61">IF(B67="","NON",+IF(AND(DATE(YEAR(B67),MONTH(B67),1)&gt;=DATE(YEAR($D$15),MONTH($D$15),1),DATE(YEAR(B67),MONTH(B67),1)&lt;=DATE(YEAR($D$17),MONTH($D$17),1)),"OUI","NON"))</f>
        <v>NON</v>
      </c>
    </row>
    <row r="68" spans="1:91" s="8" customFormat="1" ht="13.5" customHeight="1" x14ac:dyDescent="0.2">
      <c r="A68" s="36">
        <f>+EDATE(A67,1)</f>
        <v>694509</v>
      </c>
      <c r="B68" s="1" t="str">
        <f>IF($B$67="","",IF(EDATE($B$67,1)&lt;=$D$17,EDATE($B$67,1),""))</f>
        <v/>
      </c>
      <c r="C68" s="88" t="str">
        <f>+IF(B68="","","Juillet"&amp;" "&amp;YEAR(B68))</f>
        <v/>
      </c>
      <c r="D68" s="101"/>
      <c r="E68" s="37"/>
      <c r="F68" s="187">
        <f t="shared" ref="F68:F78" si="62">IF(E68&gt;=0.1,G68/26,0)</f>
        <v>0</v>
      </c>
      <c r="G68" s="187">
        <f>+IF(H68="",G67,H68)</f>
        <v>0</v>
      </c>
      <c r="H68" s="109"/>
      <c r="J68" s="109"/>
      <c r="K68" s="110"/>
      <c r="M68" s="88" t="str">
        <f t="shared" ref="M68:M78" si="63">+C68</f>
        <v/>
      </c>
      <c r="N68" s="101"/>
      <c r="P68" s="109"/>
      <c r="AV68" s="167">
        <f t="shared" ref="AV68:AV78" si="64">IF(E68&gt;=0.1,G68/26,0)</f>
        <v>0</v>
      </c>
      <c r="AW68" s="169">
        <f t="shared" ref="AW68:AW78" si="65">IF($E68&gt;=0.1,+MIN($E68,$D$45-$AX67),0)</f>
        <v>0</v>
      </c>
      <c r="AX68" s="169">
        <f>+AX67+AW68</f>
        <v>0</v>
      </c>
      <c r="AY68" s="171">
        <f t="shared" ref="AY68:AY78" si="66">+AW68*$AV68</f>
        <v>0</v>
      </c>
      <c r="AZ68" s="176">
        <f t="shared" ref="AZ68:AZ72" si="67">IF($E68&gt;=0.1,MIN($E68-$AW68,$D$63-$BA67),0)</f>
        <v>0</v>
      </c>
      <c r="BA68" s="169">
        <f>+BA67+AZ68</f>
        <v>0</v>
      </c>
      <c r="BB68" s="177">
        <f t="shared" ref="BB68:BB78" si="68">+AZ68*$AV68</f>
        <v>0</v>
      </c>
      <c r="BC68" s="176">
        <f>IF($E68&gt;=0.1,MIN($E68-$AW68-$AZ68,$D$81-$BD67),0)</f>
        <v>0</v>
      </c>
      <c r="BD68" s="169">
        <f>+BD67+BC68</f>
        <v>0</v>
      </c>
      <c r="BE68" s="177">
        <f t="shared" ref="BE68:BE78" si="69">+BC68*$AV68</f>
        <v>0</v>
      </c>
      <c r="BF68" s="176">
        <f>IF($E68&gt;=0.1,MIN($E68-$AW68-$AZ68-$BC68,$D$99-$BG67),0)</f>
        <v>0</v>
      </c>
      <c r="BG68" s="169">
        <f>+BG67+BF68</f>
        <v>0</v>
      </c>
      <c r="BH68" s="177">
        <f t="shared" ref="BH68:BH78" si="70">+BF68*$AV68</f>
        <v>0</v>
      </c>
      <c r="BI68" s="176">
        <f>IF($E68&gt;=0.1,MIN($E68-$AW68-$AZ68-$BC68-$BF68,$D$117-$BJ67),0)</f>
        <v>0</v>
      </c>
      <c r="BJ68" s="169">
        <f>+BJ67+BI68</f>
        <v>0</v>
      </c>
      <c r="BK68" s="177">
        <f t="shared" ref="BK68:BK78" si="71">+BI68*$AV68</f>
        <v>0</v>
      </c>
      <c r="BL68" s="176">
        <f>IF($E68&gt;=0.1,MIN($E68-$AW68-$AZ68-$BC68-$BF68-$BI68,$D$136-$BM67),0)</f>
        <v>0</v>
      </c>
      <c r="BM68" s="169">
        <f>+BM67+BL68</f>
        <v>0</v>
      </c>
      <c r="BN68" s="177">
        <f t="shared" ref="BN68:BN78" si="72">+BL68*$AV68</f>
        <v>0</v>
      </c>
      <c r="BO68" s="182">
        <f t="shared" ref="BO68:BO78" si="73">+BL68+BI68+BF68+BC68+AZ68+AW68</f>
        <v>0</v>
      </c>
      <c r="CL68" s="8" t="str">
        <f t="shared" si="61"/>
        <v>NON</v>
      </c>
    </row>
    <row r="69" spans="1:91" s="8" customFormat="1" ht="13.5" customHeight="1" x14ac:dyDescent="0.2">
      <c r="A69" s="36">
        <f t="shared" ref="A69:A78" si="74">+EDATE(A68,1)</f>
        <v>694540</v>
      </c>
      <c r="B69" s="1" t="str">
        <f>IF($B$68="","",IF(EDATE($B$68,1)&lt;=$D$17,EDATE($B$68,1),""))</f>
        <v/>
      </c>
      <c r="C69" s="88" t="str">
        <f>+IF(B69="","","Aout"&amp;" "&amp;YEAR(B69))</f>
        <v/>
      </c>
      <c r="D69" s="101"/>
      <c r="E69" s="37"/>
      <c r="F69" s="187">
        <f t="shared" si="62"/>
        <v>0</v>
      </c>
      <c r="G69" s="187">
        <f t="shared" ref="G69:G78" si="75">+IF(H69="",G68,H69)</f>
        <v>0</v>
      </c>
      <c r="H69" s="109"/>
      <c r="J69" s="109"/>
      <c r="K69" s="110"/>
      <c r="M69" s="88" t="str">
        <f t="shared" si="63"/>
        <v/>
      </c>
      <c r="N69" s="101"/>
      <c r="P69" s="109"/>
      <c r="AV69" s="167">
        <f t="shared" si="64"/>
        <v>0</v>
      </c>
      <c r="AW69" s="169">
        <f t="shared" si="65"/>
        <v>0</v>
      </c>
      <c r="AX69" s="169">
        <f t="shared" ref="AX69:AX78" si="76">+AX68+AW69</f>
        <v>0</v>
      </c>
      <c r="AY69" s="171">
        <f t="shared" si="66"/>
        <v>0</v>
      </c>
      <c r="AZ69" s="176">
        <f t="shared" si="67"/>
        <v>0</v>
      </c>
      <c r="BA69" s="169">
        <f t="shared" ref="BA69:BA78" si="77">+BA68+AZ69</f>
        <v>0</v>
      </c>
      <c r="BB69" s="177">
        <f t="shared" si="68"/>
        <v>0</v>
      </c>
      <c r="BC69" s="176">
        <f t="shared" ref="BC69:BC78" si="78">IF($E69&gt;=0.1,MIN($E69-$AW69-$AZ69,$D$81-$BD68),0)</f>
        <v>0</v>
      </c>
      <c r="BD69" s="169">
        <f t="shared" ref="BD69:BD78" si="79">+BD68+BC69</f>
        <v>0</v>
      </c>
      <c r="BE69" s="177">
        <f t="shared" si="69"/>
        <v>0</v>
      </c>
      <c r="BF69" s="176">
        <f t="shared" ref="BF69:BF78" si="80">IF($E69&gt;=0.1,MIN($E69-$AW69-$AZ69-$BC69,$D$99-$BG68),0)</f>
        <v>0</v>
      </c>
      <c r="BG69" s="169">
        <f t="shared" ref="BG69:BG78" si="81">+BG68+BF69</f>
        <v>0</v>
      </c>
      <c r="BH69" s="177">
        <f t="shared" si="70"/>
        <v>0</v>
      </c>
      <c r="BI69" s="176">
        <f t="shared" ref="BI69:BI78" si="82">IF($E69&gt;=0.1,MIN($E69-$AW69-$AZ69-$BC69-$BF69,$D$117-$BJ68),0)</f>
        <v>0</v>
      </c>
      <c r="BJ69" s="169">
        <f t="shared" ref="BJ69:BJ78" si="83">+BJ68+BI69</f>
        <v>0</v>
      </c>
      <c r="BK69" s="177">
        <f t="shared" si="71"/>
        <v>0</v>
      </c>
      <c r="BL69" s="176">
        <f t="shared" ref="BL69:BL78" si="84">IF($E69&gt;=0.1,MIN($E69-$AW69-$AZ69-$BC69-$BF69-$BI69,$D$136-$BM68),0)</f>
        <v>0</v>
      </c>
      <c r="BM69" s="169">
        <f t="shared" ref="BM69:BM78" si="85">+BM68+BL69</f>
        <v>0</v>
      </c>
      <c r="BN69" s="177">
        <f t="shared" si="72"/>
        <v>0</v>
      </c>
      <c r="BO69" s="182">
        <f t="shared" si="73"/>
        <v>0</v>
      </c>
      <c r="CL69" s="8" t="str">
        <f t="shared" si="61"/>
        <v>NON</v>
      </c>
    </row>
    <row r="70" spans="1:91" s="8" customFormat="1" ht="13.5" customHeight="1" x14ac:dyDescent="0.2">
      <c r="A70" s="36">
        <f t="shared" si="74"/>
        <v>694571</v>
      </c>
      <c r="B70" s="1" t="str">
        <f>IF($B$69="","",IF(EDATE($B$69,1)&lt;=$D$17,EDATE($B$69,1),""))</f>
        <v/>
      </c>
      <c r="C70" s="88" t="str">
        <f>+IF(B70="","","Septembre"&amp;" "&amp;YEAR(B70))</f>
        <v/>
      </c>
      <c r="D70" s="101"/>
      <c r="E70" s="37"/>
      <c r="F70" s="187">
        <f t="shared" si="62"/>
        <v>0</v>
      </c>
      <c r="G70" s="187">
        <f t="shared" si="75"/>
        <v>0</v>
      </c>
      <c r="H70" s="109"/>
      <c r="J70" s="109"/>
      <c r="K70" s="110"/>
      <c r="M70" s="88" t="str">
        <f t="shared" si="63"/>
        <v/>
      </c>
      <c r="N70" s="101"/>
      <c r="P70" s="109"/>
      <c r="AV70" s="167">
        <f t="shared" si="64"/>
        <v>0</v>
      </c>
      <c r="AW70" s="169">
        <f t="shared" si="65"/>
        <v>0</v>
      </c>
      <c r="AX70" s="169">
        <f t="shared" si="76"/>
        <v>0</v>
      </c>
      <c r="AY70" s="171">
        <f t="shared" si="66"/>
        <v>0</v>
      </c>
      <c r="AZ70" s="176">
        <f t="shared" si="67"/>
        <v>0</v>
      </c>
      <c r="BA70" s="169">
        <f t="shared" si="77"/>
        <v>0</v>
      </c>
      <c r="BB70" s="177">
        <f t="shared" si="68"/>
        <v>0</v>
      </c>
      <c r="BC70" s="176">
        <f t="shared" si="78"/>
        <v>0</v>
      </c>
      <c r="BD70" s="169">
        <f t="shared" si="79"/>
        <v>0</v>
      </c>
      <c r="BE70" s="177">
        <f t="shared" si="69"/>
        <v>0</v>
      </c>
      <c r="BF70" s="176">
        <f t="shared" si="80"/>
        <v>0</v>
      </c>
      <c r="BG70" s="169">
        <f t="shared" si="81"/>
        <v>0</v>
      </c>
      <c r="BH70" s="177">
        <f t="shared" si="70"/>
        <v>0</v>
      </c>
      <c r="BI70" s="176">
        <f t="shared" si="82"/>
        <v>0</v>
      </c>
      <c r="BJ70" s="169">
        <f t="shared" si="83"/>
        <v>0</v>
      </c>
      <c r="BK70" s="177">
        <f t="shared" si="71"/>
        <v>0</v>
      </c>
      <c r="BL70" s="176">
        <f t="shared" si="84"/>
        <v>0</v>
      </c>
      <c r="BM70" s="169">
        <f t="shared" si="85"/>
        <v>0</v>
      </c>
      <c r="BN70" s="177">
        <f t="shared" si="72"/>
        <v>0</v>
      </c>
      <c r="BO70" s="182">
        <f t="shared" si="73"/>
        <v>0</v>
      </c>
      <c r="CL70" s="8" t="str">
        <f t="shared" si="61"/>
        <v>NON</v>
      </c>
    </row>
    <row r="71" spans="1:91" s="8" customFormat="1" ht="13.5" customHeight="1" x14ac:dyDescent="0.2">
      <c r="A71" s="36">
        <f t="shared" si="74"/>
        <v>694601</v>
      </c>
      <c r="B71" s="1" t="str">
        <f>IF($B$70="","",IF(EDATE($B$70,1)&lt;=$D$17,EDATE($B$70,1),""))</f>
        <v/>
      </c>
      <c r="C71" s="88" t="str">
        <f>+IF(B71="","","Octobre"&amp;" "&amp;YEAR(B71))</f>
        <v/>
      </c>
      <c r="D71" s="101"/>
      <c r="E71" s="37"/>
      <c r="F71" s="187">
        <f t="shared" si="62"/>
        <v>0</v>
      </c>
      <c r="G71" s="187">
        <f t="shared" si="75"/>
        <v>0</v>
      </c>
      <c r="H71" s="109"/>
      <c r="J71" s="109"/>
      <c r="K71" s="110"/>
      <c r="M71" s="88" t="str">
        <f t="shared" si="63"/>
        <v/>
      </c>
      <c r="N71" s="101"/>
      <c r="P71" s="109"/>
      <c r="AV71" s="167">
        <f t="shared" si="64"/>
        <v>0</v>
      </c>
      <c r="AW71" s="169">
        <f t="shared" si="65"/>
        <v>0</v>
      </c>
      <c r="AX71" s="169">
        <f t="shared" si="76"/>
        <v>0</v>
      </c>
      <c r="AY71" s="171">
        <f t="shared" si="66"/>
        <v>0</v>
      </c>
      <c r="AZ71" s="176">
        <f t="shared" si="67"/>
        <v>0</v>
      </c>
      <c r="BA71" s="169">
        <f t="shared" si="77"/>
        <v>0</v>
      </c>
      <c r="BB71" s="177">
        <f t="shared" si="68"/>
        <v>0</v>
      </c>
      <c r="BC71" s="176">
        <f t="shared" si="78"/>
        <v>0</v>
      </c>
      <c r="BD71" s="169">
        <f t="shared" si="79"/>
        <v>0</v>
      </c>
      <c r="BE71" s="177">
        <f t="shared" si="69"/>
        <v>0</v>
      </c>
      <c r="BF71" s="176">
        <f t="shared" si="80"/>
        <v>0</v>
      </c>
      <c r="BG71" s="169">
        <f t="shared" si="81"/>
        <v>0</v>
      </c>
      <c r="BH71" s="177">
        <f t="shared" si="70"/>
        <v>0</v>
      </c>
      <c r="BI71" s="176">
        <f t="shared" si="82"/>
        <v>0</v>
      </c>
      <c r="BJ71" s="169">
        <f t="shared" si="83"/>
        <v>0</v>
      </c>
      <c r="BK71" s="177">
        <f t="shared" si="71"/>
        <v>0</v>
      </c>
      <c r="BL71" s="176">
        <f t="shared" si="84"/>
        <v>0</v>
      </c>
      <c r="BM71" s="169">
        <f t="shared" si="85"/>
        <v>0</v>
      </c>
      <c r="BN71" s="177">
        <f t="shared" si="72"/>
        <v>0</v>
      </c>
      <c r="BO71" s="182">
        <f t="shared" si="73"/>
        <v>0</v>
      </c>
      <c r="CL71" s="8" t="str">
        <f t="shared" si="61"/>
        <v>NON</v>
      </c>
    </row>
    <row r="72" spans="1:91" s="8" customFormat="1" ht="13.5" customHeight="1" x14ac:dyDescent="0.2">
      <c r="A72" s="36">
        <f t="shared" si="74"/>
        <v>694632</v>
      </c>
      <c r="B72" s="1" t="str">
        <f>IF($B$71="","",IF(EDATE($B$71,1)&lt;=$D$17,EDATE($B$71,1),""))</f>
        <v/>
      </c>
      <c r="C72" s="88" t="str">
        <f>+IF(B72="","","Novembre"&amp;" "&amp;YEAR(B72))</f>
        <v/>
      </c>
      <c r="D72" s="101"/>
      <c r="E72" s="37"/>
      <c r="F72" s="187">
        <f t="shared" si="62"/>
        <v>0</v>
      </c>
      <c r="G72" s="187">
        <f t="shared" si="75"/>
        <v>0</v>
      </c>
      <c r="H72" s="109"/>
      <c r="J72" s="109"/>
      <c r="K72" s="110"/>
      <c r="M72" s="88" t="str">
        <f t="shared" si="63"/>
        <v/>
      </c>
      <c r="N72" s="101"/>
      <c r="P72" s="109"/>
      <c r="AV72" s="167">
        <f t="shared" si="64"/>
        <v>0</v>
      </c>
      <c r="AW72" s="169">
        <f t="shared" si="65"/>
        <v>0</v>
      </c>
      <c r="AX72" s="169">
        <f t="shared" si="76"/>
        <v>0</v>
      </c>
      <c r="AY72" s="171">
        <f t="shared" si="66"/>
        <v>0</v>
      </c>
      <c r="AZ72" s="176">
        <f t="shared" si="67"/>
        <v>0</v>
      </c>
      <c r="BA72" s="169">
        <f t="shared" si="77"/>
        <v>0</v>
      </c>
      <c r="BB72" s="177">
        <f t="shared" si="68"/>
        <v>0</v>
      </c>
      <c r="BC72" s="176">
        <f t="shared" si="78"/>
        <v>0</v>
      </c>
      <c r="BD72" s="169">
        <f t="shared" si="79"/>
        <v>0</v>
      </c>
      <c r="BE72" s="177">
        <f t="shared" si="69"/>
        <v>0</v>
      </c>
      <c r="BF72" s="176">
        <f t="shared" si="80"/>
        <v>0</v>
      </c>
      <c r="BG72" s="169">
        <f t="shared" si="81"/>
        <v>0</v>
      </c>
      <c r="BH72" s="177">
        <f t="shared" si="70"/>
        <v>0</v>
      </c>
      <c r="BI72" s="176">
        <f t="shared" si="82"/>
        <v>0</v>
      </c>
      <c r="BJ72" s="169">
        <f t="shared" si="83"/>
        <v>0</v>
      </c>
      <c r="BK72" s="177">
        <f t="shared" si="71"/>
        <v>0</v>
      </c>
      <c r="BL72" s="176">
        <f t="shared" si="84"/>
        <v>0</v>
      </c>
      <c r="BM72" s="169">
        <f t="shared" si="85"/>
        <v>0</v>
      </c>
      <c r="BN72" s="177">
        <f t="shared" si="72"/>
        <v>0</v>
      </c>
      <c r="BO72" s="182">
        <f t="shared" si="73"/>
        <v>0</v>
      </c>
      <c r="CL72" s="8" t="str">
        <f t="shared" si="61"/>
        <v>NON</v>
      </c>
    </row>
    <row r="73" spans="1:91" s="8" customFormat="1" ht="13.5" customHeight="1" x14ac:dyDescent="0.2">
      <c r="A73" s="36">
        <f t="shared" si="74"/>
        <v>694662</v>
      </c>
      <c r="B73" s="1" t="str">
        <f>IF($B$72="","",IF(EDATE($B$72,1)&lt;=$D$17,EDATE($B$72,1),""))</f>
        <v/>
      </c>
      <c r="C73" s="88" t="str">
        <f>+IF(B73="","","Décembre"&amp;" "&amp;YEAR(B73))</f>
        <v/>
      </c>
      <c r="D73" s="101"/>
      <c r="E73" s="37"/>
      <c r="F73" s="187">
        <f t="shared" si="62"/>
        <v>0</v>
      </c>
      <c r="G73" s="187">
        <f t="shared" si="75"/>
        <v>0</v>
      </c>
      <c r="H73" s="109"/>
      <c r="J73" s="109"/>
      <c r="K73" s="110"/>
      <c r="M73" s="88" t="str">
        <f t="shared" si="63"/>
        <v/>
      </c>
      <c r="N73" s="101"/>
      <c r="P73" s="109"/>
      <c r="AV73" s="167">
        <f t="shared" si="64"/>
        <v>0</v>
      </c>
      <c r="AW73" s="169">
        <f t="shared" si="65"/>
        <v>0</v>
      </c>
      <c r="AX73" s="169">
        <f t="shared" si="76"/>
        <v>0</v>
      </c>
      <c r="AY73" s="171">
        <f t="shared" si="66"/>
        <v>0</v>
      </c>
      <c r="AZ73" s="176">
        <f>IF($E73&gt;=0.1,MIN($E73-$AW73,$D$63-$BA72),0)</f>
        <v>0</v>
      </c>
      <c r="BA73" s="169">
        <f t="shared" si="77"/>
        <v>0</v>
      </c>
      <c r="BB73" s="177">
        <f t="shared" si="68"/>
        <v>0</v>
      </c>
      <c r="BC73" s="176">
        <f t="shared" si="78"/>
        <v>0</v>
      </c>
      <c r="BD73" s="169">
        <f t="shared" si="79"/>
        <v>0</v>
      </c>
      <c r="BE73" s="177">
        <f t="shared" si="69"/>
        <v>0</v>
      </c>
      <c r="BF73" s="176">
        <f t="shared" si="80"/>
        <v>0</v>
      </c>
      <c r="BG73" s="169">
        <f t="shared" si="81"/>
        <v>0</v>
      </c>
      <c r="BH73" s="177">
        <f t="shared" si="70"/>
        <v>0</v>
      </c>
      <c r="BI73" s="176">
        <f t="shared" si="82"/>
        <v>0</v>
      </c>
      <c r="BJ73" s="169">
        <f t="shared" si="83"/>
        <v>0</v>
      </c>
      <c r="BK73" s="177">
        <f t="shared" si="71"/>
        <v>0</v>
      </c>
      <c r="BL73" s="176">
        <f t="shared" si="84"/>
        <v>0</v>
      </c>
      <c r="BM73" s="169">
        <f t="shared" si="85"/>
        <v>0</v>
      </c>
      <c r="BN73" s="177">
        <f t="shared" si="72"/>
        <v>0</v>
      </c>
      <c r="BO73" s="182">
        <f t="shared" si="73"/>
        <v>0</v>
      </c>
      <c r="CL73" s="8" t="str">
        <f t="shared" si="61"/>
        <v>NON</v>
      </c>
    </row>
    <row r="74" spans="1:91" s="8" customFormat="1" ht="13.5" customHeight="1" x14ac:dyDescent="0.2">
      <c r="A74" s="36">
        <f t="shared" si="74"/>
        <v>694693</v>
      </c>
      <c r="B74" s="1" t="str">
        <f>IF($B$73="","",IF(EDATE($B$73,1)&lt;=$D$17,EDATE($B$73,1),""))</f>
        <v/>
      </c>
      <c r="C74" s="88" t="str">
        <f>+IF(B74="","","Janvier"&amp;" "&amp;YEAR(B74))</f>
        <v/>
      </c>
      <c r="D74" s="101"/>
      <c r="E74" s="37"/>
      <c r="F74" s="187">
        <f t="shared" si="62"/>
        <v>0</v>
      </c>
      <c r="G74" s="187">
        <f t="shared" si="75"/>
        <v>0</v>
      </c>
      <c r="H74" s="109"/>
      <c r="J74" s="109"/>
      <c r="K74" s="110"/>
      <c r="M74" s="88" t="str">
        <f t="shared" si="63"/>
        <v/>
      </c>
      <c r="N74" s="101"/>
      <c r="P74" s="109"/>
      <c r="AV74" s="167">
        <f t="shared" si="64"/>
        <v>0</v>
      </c>
      <c r="AW74" s="169">
        <f t="shared" si="65"/>
        <v>0</v>
      </c>
      <c r="AX74" s="169">
        <f t="shared" si="76"/>
        <v>0</v>
      </c>
      <c r="AY74" s="171">
        <f t="shared" si="66"/>
        <v>0</v>
      </c>
      <c r="AZ74" s="176">
        <f t="shared" ref="AZ74:AZ78" si="86">IF($E74&gt;=0.1,MIN($E74-$AW74,$D$63-$BA73),0)</f>
        <v>0</v>
      </c>
      <c r="BA74" s="169">
        <f t="shared" si="77"/>
        <v>0</v>
      </c>
      <c r="BB74" s="177">
        <f t="shared" si="68"/>
        <v>0</v>
      </c>
      <c r="BC74" s="176">
        <f t="shared" si="78"/>
        <v>0</v>
      </c>
      <c r="BD74" s="169">
        <f t="shared" si="79"/>
        <v>0</v>
      </c>
      <c r="BE74" s="177">
        <f t="shared" si="69"/>
        <v>0</v>
      </c>
      <c r="BF74" s="176">
        <f t="shared" si="80"/>
        <v>0</v>
      </c>
      <c r="BG74" s="169">
        <f t="shared" si="81"/>
        <v>0</v>
      </c>
      <c r="BH74" s="177">
        <f t="shared" si="70"/>
        <v>0</v>
      </c>
      <c r="BI74" s="176">
        <f t="shared" si="82"/>
        <v>0</v>
      </c>
      <c r="BJ74" s="169">
        <f t="shared" si="83"/>
        <v>0</v>
      </c>
      <c r="BK74" s="177">
        <f t="shared" si="71"/>
        <v>0</v>
      </c>
      <c r="BL74" s="176">
        <f t="shared" si="84"/>
        <v>0</v>
      </c>
      <c r="BM74" s="169">
        <f t="shared" si="85"/>
        <v>0</v>
      </c>
      <c r="BN74" s="177">
        <f t="shared" si="72"/>
        <v>0</v>
      </c>
      <c r="BO74" s="182">
        <f t="shared" si="73"/>
        <v>0</v>
      </c>
      <c r="CL74" s="8" t="str">
        <f t="shared" si="61"/>
        <v>NON</v>
      </c>
    </row>
    <row r="75" spans="1:91" s="8" customFormat="1" ht="13.5" customHeight="1" x14ac:dyDescent="0.2">
      <c r="A75" s="36">
        <f t="shared" si="74"/>
        <v>694724</v>
      </c>
      <c r="B75" s="1" t="str">
        <f>IF($B$74="","",IF(EDATE($B$74,1)&lt;=$D$17,EDATE($B$74,1),""))</f>
        <v/>
      </c>
      <c r="C75" s="88" t="str">
        <f>+IF(B75="","","Février"&amp;" "&amp;YEAR(B75))</f>
        <v/>
      </c>
      <c r="D75" s="101"/>
      <c r="E75" s="37"/>
      <c r="F75" s="187">
        <f t="shared" si="62"/>
        <v>0</v>
      </c>
      <c r="G75" s="187">
        <f t="shared" si="75"/>
        <v>0</v>
      </c>
      <c r="H75" s="109"/>
      <c r="J75" s="109"/>
      <c r="K75" s="110"/>
      <c r="M75" s="88" t="str">
        <f t="shared" si="63"/>
        <v/>
      </c>
      <c r="N75" s="101"/>
      <c r="P75" s="109"/>
      <c r="AV75" s="167">
        <f t="shared" si="64"/>
        <v>0</v>
      </c>
      <c r="AW75" s="169">
        <f t="shared" si="65"/>
        <v>0</v>
      </c>
      <c r="AX75" s="169">
        <f t="shared" si="76"/>
        <v>0</v>
      </c>
      <c r="AY75" s="171">
        <f t="shared" si="66"/>
        <v>0</v>
      </c>
      <c r="AZ75" s="176">
        <f t="shared" si="86"/>
        <v>0</v>
      </c>
      <c r="BA75" s="169">
        <f t="shared" si="77"/>
        <v>0</v>
      </c>
      <c r="BB75" s="177">
        <f t="shared" si="68"/>
        <v>0</v>
      </c>
      <c r="BC75" s="176">
        <f t="shared" si="78"/>
        <v>0</v>
      </c>
      <c r="BD75" s="169">
        <f t="shared" si="79"/>
        <v>0</v>
      </c>
      <c r="BE75" s="177">
        <f t="shared" si="69"/>
        <v>0</v>
      </c>
      <c r="BF75" s="176">
        <f t="shared" si="80"/>
        <v>0</v>
      </c>
      <c r="BG75" s="169">
        <f t="shared" si="81"/>
        <v>0</v>
      </c>
      <c r="BH75" s="177">
        <f t="shared" si="70"/>
        <v>0</v>
      </c>
      <c r="BI75" s="176">
        <f t="shared" si="82"/>
        <v>0</v>
      </c>
      <c r="BJ75" s="169">
        <f t="shared" si="83"/>
        <v>0</v>
      </c>
      <c r="BK75" s="177">
        <f t="shared" si="71"/>
        <v>0</v>
      </c>
      <c r="BL75" s="176">
        <f t="shared" si="84"/>
        <v>0</v>
      </c>
      <c r="BM75" s="169">
        <f t="shared" si="85"/>
        <v>0</v>
      </c>
      <c r="BN75" s="177">
        <f t="shared" si="72"/>
        <v>0</v>
      </c>
      <c r="BO75" s="182">
        <f t="shared" si="73"/>
        <v>0</v>
      </c>
      <c r="CL75" s="8" t="str">
        <f t="shared" si="61"/>
        <v>NON</v>
      </c>
    </row>
    <row r="76" spans="1:91" s="8" customFormat="1" ht="13.5" customHeight="1" x14ac:dyDescent="0.2">
      <c r="A76" s="36">
        <f t="shared" si="74"/>
        <v>694752</v>
      </c>
      <c r="B76" s="1" t="str">
        <f>IF($B$75="","",IF(EDATE($B$75,1)&lt;=$D$17,EDATE($B$75,1),""))</f>
        <v/>
      </c>
      <c r="C76" s="88" t="str">
        <f>+IF(B76="","","Mars"&amp;" "&amp;YEAR(B76))</f>
        <v/>
      </c>
      <c r="D76" s="101"/>
      <c r="E76" s="37"/>
      <c r="F76" s="187">
        <f t="shared" si="62"/>
        <v>0</v>
      </c>
      <c r="G76" s="187">
        <f t="shared" si="75"/>
        <v>0</v>
      </c>
      <c r="H76" s="109"/>
      <c r="J76" s="109"/>
      <c r="K76" s="110"/>
      <c r="M76" s="88" t="str">
        <f t="shared" si="63"/>
        <v/>
      </c>
      <c r="N76" s="101"/>
      <c r="P76" s="109"/>
      <c r="AV76" s="167">
        <f t="shared" si="64"/>
        <v>0</v>
      </c>
      <c r="AW76" s="169">
        <f t="shared" si="65"/>
        <v>0</v>
      </c>
      <c r="AX76" s="169">
        <f t="shared" si="76"/>
        <v>0</v>
      </c>
      <c r="AY76" s="171">
        <f t="shared" si="66"/>
        <v>0</v>
      </c>
      <c r="AZ76" s="176">
        <f t="shared" si="86"/>
        <v>0</v>
      </c>
      <c r="BA76" s="169">
        <f t="shared" si="77"/>
        <v>0</v>
      </c>
      <c r="BB76" s="177">
        <f t="shared" si="68"/>
        <v>0</v>
      </c>
      <c r="BC76" s="176">
        <f t="shared" si="78"/>
        <v>0</v>
      </c>
      <c r="BD76" s="169">
        <f t="shared" si="79"/>
        <v>0</v>
      </c>
      <c r="BE76" s="177">
        <f t="shared" si="69"/>
        <v>0</v>
      </c>
      <c r="BF76" s="176">
        <f t="shared" si="80"/>
        <v>0</v>
      </c>
      <c r="BG76" s="169">
        <f t="shared" si="81"/>
        <v>0</v>
      </c>
      <c r="BH76" s="177">
        <f t="shared" si="70"/>
        <v>0</v>
      </c>
      <c r="BI76" s="176">
        <f t="shared" si="82"/>
        <v>0</v>
      </c>
      <c r="BJ76" s="169">
        <f t="shared" si="83"/>
        <v>0</v>
      </c>
      <c r="BK76" s="177">
        <f t="shared" si="71"/>
        <v>0</v>
      </c>
      <c r="BL76" s="176">
        <f t="shared" si="84"/>
        <v>0</v>
      </c>
      <c r="BM76" s="169">
        <f t="shared" si="85"/>
        <v>0</v>
      </c>
      <c r="BN76" s="177">
        <f t="shared" si="72"/>
        <v>0</v>
      </c>
      <c r="BO76" s="182">
        <f t="shared" si="73"/>
        <v>0</v>
      </c>
      <c r="CL76" s="8" t="str">
        <f t="shared" si="61"/>
        <v>NON</v>
      </c>
    </row>
    <row r="77" spans="1:91" s="8" customFormat="1" ht="13.5" customHeight="1" x14ac:dyDescent="0.2">
      <c r="A77" s="36">
        <f t="shared" si="74"/>
        <v>694783</v>
      </c>
      <c r="B77" s="1" t="str">
        <f>IF($B$76="","",IF(EDATE($B$76,1)&lt;=$D$17,EDATE($B$76,1),""))</f>
        <v/>
      </c>
      <c r="C77" s="88" t="str">
        <f>+IF(B77="","","Avril"&amp;" "&amp;YEAR(B77))</f>
        <v/>
      </c>
      <c r="D77" s="101"/>
      <c r="E77" s="37"/>
      <c r="F77" s="187">
        <f t="shared" si="62"/>
        <v>0</v>
      </c>
      <c r="G77" s="187">
        <f t="shared" si="75"/>
        <v>0</v>
      </c>
      <c r="H77" s="109"/>
      <c r="J77" s="109"/>
      <c r="K77" s="110"/>
      <c r="M77" s="88" t="str">
        <f t="shared" si="63"/>
        <v/>
      </c>
      <c r="N77" s="101"/>
      <c r="P77" s="109"/>
      <c r="AV77" s="167">
        <f t="shared" si="64"/>
        <v>0</v>
      </c>
      <c r="AW77" s="169">
        <f t="shared" si="65"/>
        <v>0</v>
      </c>
      <c r="AX77" s="169">
        <f t="shared" si="76"/>
        <v>0</v>
      </c>
      <c r="AY77" s="171">
        <f t="shared" si="66"/>
        <v>0</v>
      </c>
      <c r="AZ77" s="176">
        <f t="shared" si="86"/>
        <v>0</v>
      </c>
      <c r="BA77" s="169">
        <f t="shared" si="77"/>
        <v>0</v>
      </c>
      <c r="BB77" s="177">
        <f t="shared" si="68"/>
        <v>0</v>
      </c>
      <c r="BC77" s="176">
        <f t="shared" si="78"/>
        <v>0</v>
      </c>
      <c r="BD77" s="169">
        <f t="shared" si="79"/>
        <v>0</v>
      </c>
      <c r="BE77" s="177">
        <f t="shared" si="69"/>
        <v>0</v>
      </c>
      <c r="BF77" s="176">
        <f t="shared" si="80"/>
        <v>0</v>
      </c>
      <c r="BG77" s="169">
        <f t="shared" si="81"/>
        <v>0</v>
      </c>
      <c r="BH77" s="177">
        <f t="shared" si="70"/>
        <v>0</v>
      </c>
      <c r="BI77" s="176">
        <f t="shared" si="82"/>
        <v>0</v>
      </c>
      <c r="BJ77" s="169">
        <f t="shared" si="83"/>
        <v>0</v>
      </c>
      <c r="BK77" s="177">
        <f t="shared" si="71"/>
        <v>0</v>
      </c>
      <c r="BL77" s="176">
        <f t="shared" si="84"/>
        <v>0</v>
      </c>
      <c r="BM77" s="169">
        <f t="shared" si="85"/>
        <v>0</v>
      </c>
      <c r="BN77" s="177">
        <f t="shared" si="72"/>
        <v>0</v>
      </c>
      <c r="BO77" s="182">
        <f t="shared" si="73"/>
        <v>0</v>
      </c>
      <c r="CL77" s="8" t="str">
        <f t="shared" si="61"/>
        <v>NON</v>
      </c>
    </row>
    <row r="78" spans="1:91" s="8" customFormat="1" ht="13.5" customHeight="1" x14ac:dyDescent="0.2">
      <c r="A78" s="36">
        <f t="shared" si="74"/>
        <v>694813</v>
      </c>
      <c r="B78" s="1" t="str">
        <f>IF($B$77="","",IF(EDATE($B$77,1)&lt;=$D$17,EDATE($B$77,1),""))</f>
        <v/>
      </c>
      <c r="C78" s="88" t="str">
        <f>+IF(B78="","","Mai"&amp;" "&amp;YEAR(B78))</f>
        <v/>
      </c>
      <c r="D78" s="101"/>
      <c r="E78" s="37"/>
      <c r="F78" s="187">
        <f t="shared" si="62"/>
        <v>0</v>
      </c>
      <c r="G78" s="187">
        <f t="shared" si="75"/>
        <v>0</v>
      </c>
      <c r="H78" s="109"/>
      <c r="J78" s="109"/>
      <c r="K78" s="110"/>
      <c r="M78" s="88" t="str">
        <f t="shared" si="63"/>
        <v/>
      </c>
      <c r="N78" s="101"/>
      <c r="P78" s="109"/>
      <c r="AV78" s="168">
        <f t="shared" si="64"/>
        <v>0</v>
      </c>
      <c r="AW78" s="170">
        <f t="shared" si="65"/>
        <v>0</v>
      </c>
      <c r="AX78" s="170">
        <f t="shared" si="76"/>
        <v>0</v>
      </c>
      <c r="AY78" s="172">
        <f t="shared" si="66"/>
        <v>0</v>
      </c>
      <c r="AZ78" s="178">
        <f t="shared" si="86"/>
        <v>0</v>
      </c>
      <c r="BA78" s="170">
        <f t="shared" si="77"/>
        <v>0</v>
      </c>
      <c r="BB78" s="179">
        <f t="shared" si="68"/>
        <v>0</v>
      </c>
      <c r="BC78" s="178">
        <f t="shared" si="78"/>
        <v>0</v>
      </c>
      <c r="BD78" s="170">
        <f t="shared" si="79"/>
        <v>0</v>
      </c>
      <c r="BE78" s="179">
        <f t="shared" si="69"/>
        <v>0</v>
      </c>
      <c r="BF78" s="178">
        <f t="shared" si="80"/>
        <v>0</v>
      </c>
      <c r="BG78" s="170">
        <f t="shared" si="81"/>
        <v>0</v>
      </c>
      <c r="BH78" s="179">
        <f t="shared" si="70"/>
        <v>0</v>
      </c>
      <c r="BI78" s="178">
        <f t="shared" si="82"/>
        <v>0</v>
      </c>
      <c r="BJ78" s="170">
        <f t="shared" si="83"/>
        <v>0</v>
      </c>
      <c r="BK78" s="179">
        <f t="shared" si="71"/>
        <v>0</v>
      </c>
      <c r="BL78" s="178">
        <f t="shared" si="84"/>
        <v>0</v>
      </c>
      <c r="BM78" s="170">
        <f t="shared" si="85"/>
        <v>0</v>
      </c>
      <c r="BN78" s="179">
        <f t="shared" si="72"/>
        <v>0</v>
      </c>
      <c r="BO78" s="183">
        <f t="shared" si="73"/>
        <v>0</v>
      </c>
      <c r="CL78" s="8" t="str">
        <f t="shared" si="61"/>
        <v>NON</v>
      </c>
      <c r="CM78" s="8" t="s">
        <v>81</v>
      </c>
    </row>
    <row r="79" spans="1:91" s="8" customFormat="1" ht="12.75" x14ac:dyDescent="0.2">
      <c r="A79" s="4"/>
      <c r="B79" s="6"/>
      <c r="C79" s="38" t="s">
        <v>82</v>
      </c>
      <c r="D79" s="39">
        <f>+N81</f>
        <v>0</v>
      </c>
      <c r="F79" s="125"/>
      <c r="G79" s="125"/>
      <c r="J79" s="40">
        <f>+P81</f>
        <v>0</v>
      </c>
      <c r="BO79" s="166"/>
    </row>
    <row r="80" spans="1:91" s="8" customFormat="1" ht="13.5" customHeight="1" x14ac:dyDescent="0.2">
      <c r="A80" s="36"/>
      <c r="B80" s="1"/>
      <c r="C80" s="41" t="s">
        <v>83</v>
      </c>
      <c r="D80" s="42"/>
      <c r="E80" s="43"/>
      <c r="F80" s="125"/>
      <c r="G80" s="125"/>
      <c r="J80" s="116"/>
      <c r="K80" s="134"/>
      <c r="AY80" s="173">
        <f>SUM(AY67:AY78)</f>
        <v>0</v>
      </c>
      <c r="BB80" s="173">
        <f>SUM(BB67:BB78)</f>
        <v>0</v>
      </c>
      <c r="BE80" s="173">
        <f>SUM(BE67:BE78)</f>
        <v>0</v>
      </c>
      <c r="BH80" s="173">
        <f>SUM(BH67:BH78)</f>
        <v>0</v>
      </c>
      <c r="BK80" s="173">
        <f>SUM(BK67:BK78)</f>
        <v>0</v>
      </c>
      <c r="BN80" s="173">
        <f>SUM(BN67:BN78)</f>
        <v>0</v>
      </c>
      <c r="BO80" s="184">
        <f>SUM(BO67:BO79)</f>
        <v>0</v>
      </c>
      <c r="CM80" s="8" t="str">
        <f>+IF(C85="","NON","OUI")</f>
        <v>NON</v>
      </c>
    </row>
    <row r="81" spans="1:91" s="8" customFormat="1" ht="40.5" customHeight="1" x14ac:dyDescent="0.2">
      <c r="A81" s="36"/>
      <c r="B81" s="1"/>
      <c r="C81" s="157" t="s">
        <v>84</v>
      </c>
      <c r="D81" s="155">
        <f>MIN(ROUNDUP(SUM(D67:D80),0),30)</f>
        <v>0</v>
      </c>
      <c r="E81" s="165">
        <f>SUM(E67:E78)</f>
        <v>0</v>
      </c>
      <c r="F81" s="204" t="str">
        <f>+IF($E$139&gt;$D$139,"TROP DE JOURS pris par rapport aux jours acquis ou aux jours en cours d'acquisition","")</f>
        <v/>
      </c>
      <c r="G81" s="205"/>
      <c r="H81" s="205"/>
      <c r="J81" s="135">
        <f>SUM(J67:J80)</f>
        <v>0</v>
      </c>
      <c r="K81" s="118" t="e">
        <f>"Valeur d'un jour ouvrable de CP en 10% = "&amp;ROUND(J81,2)&amp;" € / "&amp;ROUNDUP(SUM(D67:D78),0)&amp;" jrs X 0,10 = "&amp;ROUND(J81/(ROUNDUP(SUM(D67:D78),0))*0.1,2)&amp;" €"</f>
        <v>#DIV/0!</v>
      </c>
      <c r="N81" s="39">
        <f>SUM(N67:N78)</f>
        <v>0</v>
      </c>
      <c r="P81" s="48">
        <f>SUM(P67:P78)</f>
        <v>0</v>
      </c>
    </row>
    <row r="82" spans="1:91" s="8" customFormat="1" ht="31.5" hidden="1" customHeight="1" thickBot="1" x14ac:dyDescent="0.25">
      <c r="A82" s="36"/>
      <c r="B82" s="1"/>
      <c r="C82" s="156" t="s">
        <v>85</v>
      </c>
      <c r="D82" s="153">
        <f>+D64+D81</f>
        <v>0</v>
      </c>
      <c r="E82" s="154">
        <f>+E81+E64</f>
        <v>0</v>
      </c>
      <c r="J82" s="52">
        <f>+J64+J81</f>
        <v>0</v>
      </c>
      <c r="K82" s="114"/>
      <c r="L82" s="93"/>
    </row>
    <row r="83" spans="1:91" s="8" customFormat="1" ht="57.75" customHeight="1" x14ac:dyDescent="0.2">
      <c r="A83" s="36"/>
      <c r="B83" s="1"/>
      <c r="C83" s="58"/>
      <c r="D83" s="59"/>
      <c r="E83" s="60"/>
      <c r="J83" s="61"/>
      <c r="K83" s="114"/>
      <c r="AW83" s="206" t="str">
        <f>+AW65</f>
        <v>Période : 
Janvier 1900 à Mai 1905</v>
      </c>
      <c r="AX83" s="206"/>
      <c r="AY83" s="206"/>
      <c r="AZ83" s="206" t="e">
        <f>+AZ65</f>
        <v>#VALUE!</v>
      </c>
      <c r="BA83" s="206"/>
      <c r="BB83" s="206"/>
      <c r="BC83" s="206" t="e">
        <f t="shared" ref="BC83" si="87">+BC65</f>
        <v>#VALUE!</v>
      </c>
      <c r="BD83" s="206"/>
      <c r="BE83" s="206"/>
      <c r="BF83" s="206" t="e">
        <f t="shared" ref="BF83" si="88">+BF65</f>
        <v>#VALUE!</v>
      </c>
      <c r="BG83" s="206"/>
      <c r="BH83" s="206"/>
      <c r="BI83" s="206" t="e">
        <f t="shared" ref="BI83" si="89">+BI65</f>
        <v>#VALUE!</v>
      </c>
      <c r="BJ83" s="206"/>
      <c r="BK83" s="206"/>
      <c r="BL83" s="206" t="e">
        <f t="shared" ref="BL83" si="90">+BL65</f>
        <v>#VALUE!</v>
      </c>
      <c r="BM83" s="206"/>
      <c r="BN83" s="206"/>
    </row>
    <row r="84" spans="1:91" s="8" customFormat="1" ht="63.75" x14ac:dyDescent="0.2">
      <c r="A84" s="4"/>
      <c r="B84" s="6"/>
      <c r="C84" s="27" t="e">
        <f>"Période de : "&amp;CHAR(10)&amp;PROPER(+TEXT(B85,"mmmm"))&amp;" "&amp;YEAR(B85)&amp;" à "&amp;IF(D17&gt;=B96,C96,PROPER(+TEXT(D17,"mmmm"))&amp;" "&amp;YEAR(D17))</f>
        <v>#VALUE!</v>
      </c>
      <c r="D84" s="27" t="str">
        <f>+D66</f>
        <v>Jours acquis dans l'année</v>
      </c>
      <c r="E84" s="28" t="s">
        <v>87</v>
      </c>
      <c r="F84" s="28" t="s">
        <v>103</v>
      </c>
      <c r="G84" s="27" t="s">
        <v>94</v>
      </c>
      <c r="H84" s="27" t="s">
        <v>90</v>
      </c>
      <c r="I84" s="105"/>
      <c r="J84" s="27" t="str">
        <f>+J66</f>
        <v>Salaires bruts de l'année (hors indemnités)</v>
      </c>
      <c r="K84" s="27" t="s">
        <v>74</v>
      </c>
      <c r="M84" s="98" t="str">
        <f>+M30</f>
        <v>Mois</v>
      </c>
      <c r="N84" s="98" t="str">
        <f>+N30</f>
        <v>Jrs acquis en arrêt de maladie (2 jrs par mois)</v>
      </c>
      <c r="P84" s="98" t="str">
        <f>+P30</f>
        <v>80% des Salaires bruts correspondants à l'arrêt de maladie</v>
      </c>
      <c r="AV84" s="27" t="s">
        <v>101</v>
      </c>
      <c r="AW84" s="27" t="s">
        <v>87</v>
      </c>
      <c r="AX84" s="27" t="s">
        <v>104</v>
      </c>
      <c r="AY84" s="27" t="s">
        <v>102</v>
      </c>
      <c r="AZ84" s="164" t="s">
        <v>87</v>
      </c>
      <c r="BA84" s="27" t="s">
        <v>104</v>
      </c>
      <c r="BB84" s="27" t="s">
        <v>102</v>
      </c>
      <c r="BC84" s="27" t="s">
        <v>87</v>
      </c>
      <c r="BD84" s="27" t="s">
        <v>104</v>
      </c>
      <c r="BE84" s="27" t="s">
        <v>102</v>
      </c>
      <c r="BF84" s="27" t="s">
        <v>87</v>
      </c>
      <c r="BG84" s="27" t="s">
        <v>104</v>
      </c>
      <c r="BH84" s="27" t="s">
        <v>102</v>
      </c>
      <c r="BI84" s="27" t="s">
        <v>87</v>
      </c>
      <c r="BJ84" s="27" t="s">
        <v>104</v>
      </c>
      <c r="BK84" s="27" t="s">
        <v>102</v>
      </c>
      <c r="BL84" s="27" t="s">
        <v>87</v>
      </c>
      <c r="BM84" s="27" t="s">
        <v>104</v>
      </c>
      <c r="BN84" s="27" t="s">
        <v>102</v>
      </c>
      <c r="BO84" s="27" t="s">
        <v>105</v>
      </c>
      <c r="CL84" s="108" t="s">
        <v>77</v>
      </c>
    </row>
    <row r="85" spans="1:91" s="8" customFormat="1" ht="13.5" customHeight="1" x14ac:dyDescent="0.2">
      <c r="A85" s="36">
        <f>EDATE(A78,1)</f>
        <v>694844</v>
      </c>
      <c r="B85" s="1" t="str">
        <f>IF($B$78="","",IF(EDATE($B$78,1)&lt;=$D$17,EDATE($B$78,1),""))</f>
        <v/>
      </c>
      <c r="C85" s="88" t="str">
        <f>+IF(B85="","","Juin"&amp;" "&amp;YEAR(B85))</f>
        <v/>
      </c>
      <c r="D85" s="101"/>
      <c r="E85" s="37"/>
      <c r="F85" s="187">
        <f>IF(E85&gt;=0.1,G85/26,0)</f>
        <v>0</v>
      </c>
      <c r="G85" s="187">
        <f>+IF(H85="",G78,H85)</f>
        <v>0</v>
      </c>
      <c r="H85" s="109"/>
      <c r="J85" s="109"/>
      <c r="K85" s="110"/>
      <c r="M85" s="88" t="str">
        <f t="shared" ref="M85:M96" si="91">+C85</f>
        <v/>
      </c>
      <c r="N85" s="101"/>
      <c r="P85" s="109"/>
      <c r="AV85" s="185">
        <f>IF(E85&gt;=0.1,G85/26,0)</f>
        <v>0</v>
      </c>
      <c r="AW85" s="169">
        <f>IF($E85&gt;=0.1,+MIN($E85,$D$45-$AX78),0)</f>
        <v>0</v>
      </c>
      <c r="AX85" s="169">
        <f>+AW85+AX78</f>
        <v>0</v>
      </c>
      <c r="AY85" s="171">
        <f>+AW85*$AV85</f>
        <v>0</v>
      </c>
      <c r="AZ85" s="176">
        <f>IF($E85&gt;=0.1,MIN($E85-$AW85,$D$63-$BA78),0)</f>
        <v>0</v>
      </c>
      <c r="BA85" s="169">
        <f>+AZ85+BA78</f>
        <v>0</v>
      </c>
      <c r="BB85" s="175">
        <f>+AZ85*$AV85</f>
        <v>0</v>
      </c>
      <c r="BC85" s="176">
        <f>IF($E85&gt;=0.1,MIN($E85-$AW85-$AZ85,$D$81-$BD78),0)</f>
        <v>0</v>
      </c>
      <c r="BD85" s="169">
        <f>+BC85+BD78</f>
        <v>0</v>
      </c>
      <c r="BE85" s="175">
        <f>+BC85*$AV85</f>
        <v>0</v>
      </c>
      <c r="BF85" s="176">
        <f>IF($E85&gt;=0.1,MIN($E85-$AW85-$AZ85-$BC85,$D$99-$BG78),0)</f>
        <v>0</v>
      </c>
      <c r="BG85" s="169">
        <f>+BF85+BG78</f>
        <v>0</v>
      </c>
      <c r="BH85" s="175">
        <f>+BF85*$AV85</f>
        <v>0</v>
      </c>
      <c r="BI85" s="176">
        <f>IF($E85&gt;=0.1,MIN($E85-$AW85-$AZ85-$BC85-$BF85,$D$117-$BJ78),0)</f>
        <v>0</v>
      </c>
      <c r="BJ85" s="169">
        <f>+BI85+BJ78</f>
        <v>0</v>
      </c>
      <c r="BK85" s="175">
        <f>+BI85*$AV85</f>
        <v>0</v>
      </c>
      <c r="BL85" s="176">
        <f>IF($E85&gt;=0.1,MIN($E85-$AW85-$AZ85-$BC85-$BF85-$BI85,$D$136-$BM78),0)</f>
        <v>0</v>
      </c>
      <c r="BM85" s="169">
        <f>+BL85+BM78</f>
        <v>0</v>
      </c>
      <c r="BN85" s="175">
        <f>+BL85*$AV85</f>
        <v>0</v>
      </c>
      <c r="BO85" s="181">
        <f>+BL85+BI85+BF85+BC85+AZ85+AW85</f>
        <v>0</v>
      </c>
      <c r="CL85" s="8" t="str">
        <f t="shared" ref="CL85:CL96" si="92">IF(B85="","NON",+IF(AND(DATE(YEAR(B85),MONTH(B85),1)&gt;=DATE(YEAR($D$15),MONTH($D$15),1),DATE(YEAR(B85),MONTH(B85),1)&lt;=DATE(YEAR($D$17),MONTH($D$17),1)),"OUI","NON"))</f>
        <v>NON</v>
      </c>
    </row>
    <row r="86" spans="1:91" s="8" customFormat="1" ht="13.5" customHeight="1" x14ac:dyDescent="0.2">
      <c r="A86" s="36">
        <f>EDATE(A85,1)</f>
        <v>694874</v>
      </c>
      <c r="B86" s="1" t="str">
        <f>IF($B$85="","",IF(EDATE($B$85,1)&lt;=$D$17,EDATE($B$85,1),""))</f>
        <v/>
      </c>
      <c r="C86" s="88" t="str">
        <f>+IF(B86="","","Juillet"&amp;" "&amp;YEAR(B86))</f>
        <v/>
      </c>
      <c r="D86" s="101"/>
      <c r="E86" s="37"/>
      <c r="F86" s="187">
        <f t="shared" ref="F86:F96" si="93">IF(E86&gt;=0.1,G86/26,0)</f>
        <v>0</v>
      </c>
      <c r="G86" s="187">
        <f>+IF(H86="",G85,H86)</f>
        <v>0</v>
      </c>
      <c r="H86" s="109"/>
      <c r="J86" s="109"/>
      <c r="K86" s="110"/>
      <c r="M86" s="88" t="str">
        <f t="shared" si="91"/>
        <v/>
      </c>
      <c r="N86" s="101"/>
      <c r="P86" s="109"/>
      <c r="AV86" s="167">
        <f t="shared" ref="AV86:AV96" si="94">IF(E86&gt;=0.1,G86/26,0)</f>
        <v>0</v>
      </c>
      <c r="AW86" s="169">
        <f t="shared" ref="AW86:AW96" si="95">IF($E86&gt;=0.1,+MIN($E86,$D$45-$AX85),0)</f>
        <v>0</v>
      </c>
      <c r="AX86" s="169">
        <f>+AX85+AW86</f>
        <v>0</v>
      </c>
      <c r="AY86" s="171">
        <f t="shared" ref="AY86:AY96" si="96">+AW86*$AV86</f>
        <v>0</v>
      </c>
      <c r="AZ86" s="176">
        <f t="shared" ref="AZ86:AZ90" si="97">IF($E86&gt;=0.1,MIN($E86-$AW86,$D$63-$BA85),0)</f>
        <v>0</v>
      </c>
      <c r="BA86" s="169">
        <f>+BA85+AZ86</f>
        <v>0</v>
      </c>
      <c r="BB86" s="177">
        <f t="shared" ref="BB86:BB96" si="98">+AZ86*$AV86</f>
        <v>0</v>
      </c>
      <c r="BC86" s="176">
        <f>IF($E86&gt;=0.1,MIN($E86-$AW86-$AZ86,$D$81-$BD85),0)</f>
        <v>0</v>
      </c>
      <c r="BD86" s="169">
        <f>+BD85+BC86</f>
        <v>0</v>
      </c>
      <c r="BE86" s="177">
        <f t="shared" ref="BE86:BE96" si="99">+BC86*$AV86</f>
        <v>0</v>
      </c>
      <c r="BF86" s="176">
        <f>IF($E86&gt;=0.1,MIN($E86-$AW86-$AZ86-$BC86,$D$99-$BG85),0)</f>
        <v>0</v>
      </c>
      <c r="BG86" s="169">
        <f>+BG85+BF86</f>
        <v>0</v>
      </c>
      <c r="BH86" s="177">
        <f t="shared" ref="BH86:BH96" si="100">+BF86*$AV86</f>
        <v>0</v>
      </c>
      <c r="BI86" s="176">
        <f>IF($E86&gt;=0.1,MIN($E86-$AW86-$AZ86-$BC86-$BF86,$D$117-$BJ85),0)</f>
        <v>0</v>
      </c>
      <c r="BJ86" s="169">
        <f>+BJ85+BI86</f>
        <v>0</v>
      </c>
      <c r="BK86" s="177">
        <f t="shared" ref="BK86:BK96" si="101">+BI86*$AV86</f>
        <v>0</v>
      </c>
      <c r="BL86" s="176">
        <f>IF($E86&gt;=0.1,MIN($E86-$AW86-$AZ86-$BC86-$BF86-$BI86,$D$136-$BM85),0)</f>
        <v>0</v>
      </c>
      <c r="BM86" s="169">
        <f>+BM85+BL86</f>
        <v>0</v>
      </c>
      <c r="BN86" s="177">
        <f t="shared" ref="BN86:BN96" si="102">+BL86*$AV86</f>
        <v>0</v>
      </c>
      <c r="BO86" s="182">
        <f t="shared" ref="BO86:BO96" si="103">+BL86+BI86+BF86+BC86+AZ86+AW86</f>
        <v>0</v>
      </c>
      <c r="CL86" s="8" t="str">
        <f t="shared" si="92"/>
        <v>NON</v>
      </c>
    </row>
    <row r="87" spans="1:91" s="8" customFormat="1" ht="13.5" customHeight="1" x14ac:dyDescent="0.2">
      <c r="A87" s="36">
        <f t="shared" ref="A87:A96" si="104">EDATE(A86,1)</f>
        <v>694905</v>
      </c>
      <c r="B87" s="1" t="str">
        <f>IF($B$86="","",IF(EDATE($B$86,1)&lt;=$D$17,EDATE($B$86,1),""))</f>
        <v/>
      </c>
      <c r="C87" s="88" t="str">
        <f>+IF(B87="","","Aout"&amp;" "&amp;YEAR(B87))</f>
        <v/>
      </c>
      <c r="D87" s="101"/>
      <c r="E87" s="37"/>
      <c r="F87" s="187">
        <f t="shared" si="93"/>
        <v>0</v>
      </c>
      <c r="G87" s="187">
        <f t="shared" ref="G87:G96" si="105">+IF(H87="",G86,H87)</f>
        <v>0</v>
      </c>
      <c r="H87" s="109"/>
      <c r="J87" s="109"/>
      <c r="K87" s="110"/>
      <c r="M87" s="88" t="str">
        <f t="shared" si="91"/>
        <v/>
      </c>
      <c r="N87" s="101"/>
      <c r="P87" s="109"/>
      <c r="AV87" s="167">
        <f t="shared" si="94"/>
        <v>0</v>
      </c>
      <c r="AW87" s="169">
        <f t="shared" si="95"/>
        <v>0</v>
      </c>
      <c r="AX87" s="169">
        <f t="shared" ref="AX87:AX96" si="106">+AX86+AW87</f>
        <v>0</v>
      </c>
      <c r="AY87" s="171">
        <f t="shared" si="96"/>
        <v>0</v>
      </c>
      <c r="AZ87" s="176">
        <f t="shared" si="97"/>
        <v>0</v>
      </c>
      <c r="BA87" s="169">
        <f t="shared" ref="BA87:BA96" si="107">+BA86+AZ87</f>
        <v>0</v>
      </c>
      <c r="BB87" s="177">
        <f t="shared" si="98"/>
        <v>0</v>
      </c>
      <c r="BC87" s="176">
        <f t="shared" ref="BC87:BC96" si="108">IF($E87&gt;=0.1,MIN($E87-$AW87-$AZ87,$D$81-$BD86),0)</f>
        <v>0</v>
      </c>
      <c r="BD87" s="169">
        <f t="shared" ref="BD87:BD96" si="109">+BD86+BC87</f>
        <v>0</v>
      </c>
      <c r="BE87" s="177">
        <f t="shared" si="99"/>
        <v>0</v>
      </c>
      <c r="BF87" s="176">
        <f t="shared" ref="BF87:BF96" si="110">IF($E87&gt;=0.1,MIN($E87-$AW87-$AZ87-$BC87,$D$99-$BG86),0)</f>
        <v>0</v>
      </c>
      <c r="BG87" s="169">
        <f t="shared" ref="BG87:BG96" si="111">+BG86+BF87</f>
        <v>0</v>
      </c>
      <c r="BH87" s="177">
        <f t="shared" si="100"/>
        <v>0</v>
      </c>
      <c r="BI87" s="176">
        <f t="shared" ref="BI87:BI96" si="112">IF($E87&gt;=0.1,MIN($E87-$AW87-$AZ87-$BC87-$BF87,$D$117-$BJ86),0)</f>
        <v>0</v>
      </c>
      <c r="BJ87" s="169">
        <f t="shared" ref="BJ87:BJ96" si="113">+BJ86+BI87</f>
        <v>0</v>
      </c>
      <c r="BK87" s="177">
        <f t="shared" si="101"/>
        <v>0</v>
      </c>
      <c r="BL87" s="176">
        <f t="shared" ref="BL87:BL96" si="114">IF($E87&gt;=0.1,MIN($E87-$AW87-$AZ87-$BC87-$BF87-$BI87,$D$136-$BM86),0)</f>
        <v>0</v>
      </c>
      <c r="BM87" s="169">
        <f t="shared" ref="BM87:BM96" si="115">+BM86+BL87</f>
        <v>0</v>
      </c>
      <c r="BN87" s="177">
        <f t="shared" si="102"/>
        <v>0</v>
      </c>
      <c r="BO87" s="182">
        <f t="shared" si="103"/>
        <v>0</v>
      </c>
      <c r="CL87" s="8" t="str">
        <f t="shared" si="92"/>
        <v>NON</v>
      </c>
    </row>
    <row r="88" spans="1:91" s="8" customFormat="1" ht="13.5" customHeight="1" x14ac:dyDescent="0.2">
      <c r="A88" s="36">
        <f t="shared" si="104"/>
        <v>694936</v>
      </c>
      <c r="B88" s="1" t="str">
        <f>IF($B$87="","",IF(EDATE($B$87,1)&lt;=$D$17,EDATE($B$87,1),""))</f>
        <v/>
      </c>
      <c r="C88" s="88" t="str">
        <f>+IF(B88="","","Septembre"&amp;" "&amp;YEAR(B88))</f>
        <v/>
      </c>
      <c r="D88" s="101"/>
      <c r="E88" s="37"/>
      <c r="F88" s="187">
        <f t="shared" si="93"/>
        <v>0</v>
      </c>
      <c r="G88" s="187">
        <f t="shared" si="105"/>
        <v>0</v>
      </c>
      <c r="H88" s="109"/>
      <c r="J88" s="109"/>
      <c r="K88" s="110"/>
      <c r="M88" s="88" t="str">
        <f t="shared" si="91"/>
        <v/>
      </c>
      <c r="N88" s="101"/>
      <c r="P88" s="109"/>
      <c r="AV88" s="167">
        <f t="shared" si="94"/>
        <v>0</v>
      </c>
      <c r="AW88" s="169">
        <f t="shared" si="95"/>
        <v>0</v>
      </c>
      <c r="AX88" s="169">
        <f t="shared" si="106"/>
        <v>0</v>
      </c>
      <c r="AY88" s="171">
        <f t="shared" si="96"/>
        <v>0</v>
      </c>
      <c r="AZ88" s="176">
        <f t="shared" si="97"/>
        <v>0</v>
      </c>
      <c r="BA88" s="169">
        <f t="shared" si="107"/>
        <v>0</v>
      </c>
      <c r="BB88" s="177">
        <f t="shared" si="98"/>
        <v>0</v>
      </c>
      <c r="BC88" s="176">
        <f t="shared" si="108"/>
        <v>0</v>
      </c>
      <c r="BD88" s="169">
        <f t="shared" si="109"/>
        <v>0</v>
      </c>
      <c r="BE88" s="177">
        <f t="shared" si="99"/>
        <v>0</v>
      </c>
      <c r="BF88" s="176">
        <f t="shared" si="110"/>
        <v>0</v>
      </c>
      <c r="BG88" s="169">
        <f t="shared" si="111"/>
        <v>0</v>
      </c>
      <c r="BH88" s="177">
        <f t="shared" si="100"/>
        <v>0</v>
      </c>
      <c r="BI88" s="176">
        <f t="shared" si="112"/>
        <v>0</v>
      </c>
      <c r="BJ88" s="169">
        <f t="shared" si="113"/>
        <v>0</v>
      </c>
      <c r="BK88" s="177">
        <f t="shared" si="101"/>
        <v>0</v>
      </c>
      <c r="BL88" s="176">
        <f t="shared" si="114"/>
        <v>0</v>
      </c>
      <c r="BM88" s="169">
        <f t="shared" si="115"/>
        <v>0</v>
      </c>
      <c r="BN88" s="177">
        <f t="shared" si="102"/>
        <v>0</v>
      </c>
      <c r="BO88" s="182">
        <f t="shared" si="103"/>
        <v>0</v>
      </c>
      <c r="CL88" s="8" t="str">
        <f t="shared" si="92"/>
        <v>NON</v>
      </c>
    </row>
    <row r="89" spans="1:91" s="8" customFormat="1" ht="13.5" customHeight="1" x14ac:dyDescent="0.2">
      <c r="A89" s="36">
        <f t="shared" si="104"/>
        <v>694966</v>
      </c>
      <c r="B89" s="1" t="str">
        <f>IF($B$88="","",IF(EDATE($B$88,1)&lt;=$D$17,EDATE($B$88,1),""))</f>
        <v/>
      </c>
      <c r="C89" s="88" t="str">
        <f>+IF(B89="","","Octobre"&amp;" "&amp;YEAR(B89))</f>
        <v/>
      </c>
      <c r="D89" s="101"/>
      <c r="E89" s="37"/>
      <c r="F89" s="187">
        <f t="shared" si="93"/>
        <v>0</v>
      </c>
      <c r="G89" s="187">
        <f t="shared" si="105"/>
        <v>0</v>
      </c>
      <c r="H89" s="109"/>
      <c r="J89" s="109"/>
      <c r="K89" s="110"/>
      <c r="M89" s="88" t="str">
        <f t="shared" si="91"/>
        <v/>
      </c>
      <c r="N89" s="101"/>
      <c r="P89" s="109"/>
      <c r="AV89" s="167">
        <f t="shared" si="94"/>
        <v>0</v>
      </c>
      <c r="AW89" s="169">
        <f t="shared" si="95"/>
        <v>0</v>
      </c>
      <c r="AX89" s="169">
        <f t="shared" si="106"/>
        <v>0</v>
      </c>
      <c r="AY89" s="171">
        <f t="shared" si="96"/>
        <v>0</v>
      </c>
      <c r="AZ89" s="176">
        <f t="shared" si="97"/>
        <v>0</v>
      </c>
      <c r="BA89" s="169">
        <f t="shared" si="107"/>
        <v>0</v>
      </c>
      <c r="BB89" s="177">
        <f t="shared" si="98"/>
        <v>0</v>
      </c>
      <c r="BC89" s="176">
        <f t="shared" si="108"/>
        <v>0</v>
      </c>
      <c r="BD89" s="169">
        <f t="shared" si="109"/>
        <v>0</v>
      </c>
      <c r="BE89" s="177">
        <f t="shared" si="99"/>
        <v>0</v>
      </c>
      <c r="BF89" s="176">
        <f t="shared" si="110"/>
        <v>0</v>
      </c>
      <c r="BG89" s="169">
        <f t="shared" si="111"/>
        <v>0</v>
      </c>
      <c r="BH89" s="177">
        <f t="shared" si="100"/>
        <v>0</v>
      </c>
      <c r="BI89" s="176">
        <f t="shared" si="112"/>
        <v>0</v>
      </c>
      <c r="BJ89" s="169">
        <f t="shared" si="113"/>
        <v>0</v>
      </c>
      <c r="BK89" s="177">
        <f t="shared" si="101"/>
        <v>0</v>
      </c>
      <c r="BL89" s="176">
        <f t="shared" si="114"/>
        <v>0</v>
      </c>
      <c r="BM89" s="169">
        <f t="shared" si="115"/>
        <v>0</v>
      </c>
      <c r="BN89" s="177">
        <f t="shared" si="102"/>
        <v>0</v>
      </c>
      <c r="BO89" s="182">
        <f t="shared" si="103"/>
        <v>0</v>
      </c>
      <c r="CL89" s="8" t="str">
        <f t="shared" si="92"/>
        <v>NON</v>
      </c>
    </row>
    <row r="90" spans="1:91" s="8" customFormat="1" ht="13.5" customHeight="1" x14ac:dyDescent="0.2">
      <c r="A90" s="36">
        <f t="shared" si="104"/>
        <v>694997</v>
      </c>
      <c r="B90" s="1" t="str">
        <f>IF($B$89="","",IF(EDATE($B$89,1)&lt;=$D$17,EDATE($B$89,1),""))</f>
        <v/>
      </c>
      <c r="C90" s="88" t="str">
        <f>+IF(B90="","","Novembre"&amp;" "&amp;YEAR(B90))</f>
        <v/>
      </c>
      <c r="D90" s="101"/>
      <c r="E90" s="37"/>
      <c r="F90" s="187">
        <f t="shared" si="93"/>
        <v>0</v>
      </c>
      <c r="G90" s="187">
        <f t="shared" si="105"/>
        <v>0</v>
      </c>
      <c r="H90" s="109"/>
      <c r="J90" s="109"/>
      <c r="K90" s="110"/>
      <c r="M90" s="88" t="str">
        <f t="shared" si="91"/>
        <v/>
      </c>
      <c r="N90" s="101"/>
      <c r="P90" s="109"/>
      <c r="AV90" s="167">
        <f t="shared" si="94"/>
        <v>0</v>
      </c>
      <c r="AW90" s="169">
        <f t="shared" si="95"/>
        <v>0</v>
      </c>
      <c r="AX90" s="169">
        <f t="shared" si="106"/>
        <v>0</v>
      </c>
      <c r="AY90" s="171">
        <f t="shared" si="96"/>
        <v>0</v>
      </c>
      <c r="AZ90" s="176">
        <f t="shared" si="97"/>
        <v>0</v>
      </c>
      <c r="BA90" s="169">
        <f t="shared" si="107"/>
        <v>0</v>
      </c>
      <c r="BB90" s="177">
        <f t="shared" si="98"/>
        <v>0</v>
      </c>
      <c r="BC90" s="176">
        <f t="shared" si="108"/>
        <v>0</v>
      </c>
      <c r="BD90" s="169">
        <f t="shared" si="109"/>
        <v>0</v>
      </c>
      <c r="BE90" s="177">
        <f t="shared" si="99"/>
        <v>0</v>
      </c>
      <c r="BF90" s="176">
        <f t="shared" si="110"/>
        <v>0</v>
      </c>
      <c r="BG90" s="169">
        <f t="shared" si="111"/>
        <v>0</v>
      </c>
      <c r="BH90" s="177">
        <f t="shared" si="100"/>
        <v>0</v>
      </c>
      <c r="BI90" s="176">
        <f t="shared" si="112"/>
        <v>0</v>
      </c>
      <c r="BJ90" s="169">
        <f t="shared" si="113"/>
        <v>0</v>
      </c>
      <c r="BK90" s="177">
        <f t="shared" si="101"/>
        <v>0</v>
      </c>
      <c r="BL90" s="176">
        <f t="shared" si="114"/>
        <v>0</v>
      </c>
      <c r="BM90" s="169">
        <f t="shared" si="115"/>
        <v>0</v>
      </c>
      <c r="BN90" s="177">
        <f t="shared" si="102"/>
        <v>0</v>
      </c>
      <c r="BO90" s="182">
        <f t="shared" si="103"/>
        <v>0</v>
      </c>
      <c r="CL90" s="8" t="str">
        <f t="shared" si="92"/>
        <v>NON</v>
      </c>
    </row>
    <row r="91" spans="1:91" s="8" customFormat="1" ht="13.5" customHeight="1" x14ac:dyDescent="0.2">
      <c r="A91" s="36">
        <f t="shared" si="104"/>
        <v>695027</v>
      </c>
      <c r="B91" s="1" t="str">
        <f>IF($B$90="","",IF(EDATE($B$90,1)&lt;=$D$17,EDATE($B$90,1),""))</f>
        <v/>
      </c>
      <c r="C91" s="88" t="str">
        <f>+IF(B91="","","Décembre"&amp;" "&amp;YEAR(B91))</f>
        <v/>
      </c>
      <c r="D91" s="101"/>
      <c r="E91" s="37"/>
      <c r="F91" s="187">
        <f t="shared" si="93"/>
        <v>0</v>
      </c>
      <c r="G91" s="187">
        <f t="shared" si="105"/>
        <v>0</v>
      </c>
      <c r="H91" s="109"/>
      <c r="J91" s="109"/>
      <c r="K91" s="110"/>
      <c r="M91" s="88" t="str">
        <f t="shared" si="91"/>
        <v/>
      </c>
      <c r="N91" s="101"/>
      <c r="P91" s="109"/>
      <c r="AV91" s="167">
        <f t="shared" si="94"/>
        <v>0</v>
      </c>
      <c r="AW91" s="169">
        <f t="shared" si="95"/>
        <v>0</v>
      </c>
      <c r="AX91" s="169">
        <f t="shared" si="106"/>
        <v>0</v>
      </c>
      <c r="AY91" s="171">
        <f t="shared" si="96"/>
        <v>0</v>
      </c>
      <c r="AZ91" s="176">
        <f>IF($E91&gt;=0.1,MIN($E91-$AW91,$D$63-$BA90),0)</f>
        <v>0</v>
      </c>
      <c r="BA91" s="169">
        <f t="shared" si="107"/>
        <v>0</v>
      </c>
      <c r="BB91" s="177">
        <f t="shared" si="98"/>
        <v>0</v>
      </c>
      <c r="BC91" s="176">
        <f t="shared" si="108"/>
        <v>0</v>
      </c>
      <c r="BD91" s="169">
        <f t="shared" si="109"/>
        <v>0</v>
      </c>
      <c r="BE91" s="177">
        <f t="shared" si="99"/>
        <v>0</v>
      </c>
      <c r="BF91" s="176">
        <f t="shared" si="110"/>
        <v>0</v>
      </c>
      <c r="BG91" s="169">
        <f t="shared" si="111"/>
        <v>0</v>
      </c>
      <c r="BH91" s="177">
        <f t="shared" si="100"/>
        <v>0</v>
      </c>
      <c r="BI91" s="176">
        <f t="shared" si="112"/>
        <v>0</v>
      </c>
      <c r="BJ91" s="169">
        <f t="shared" si="113"/>
        <v>0</v>
      </c>
      <c r="BK91" s="177">
        <f t="shared" si="101"/>
        <v>0</v>
      </c>
      <c r="BL91" s="176">
        <f t="shared" si="114"/>
        <v>0</v>
      </c>
      <c r="BM91" s="169">
        <f t="shared" si="115"/>
        <v>0</v>
      </c>
      <c r="BN91" s="177">
        <f t="shared" si="102"/>
        <v>0</v>
      </c>
      <c r="BO91" s="182">
        <f t="shared" si="103"/>
        <v>0</v>
      </c>
      <c r="CL91" s="8" t="str">
        <f t="shared" si="92"/>
        <v>NON</v>
      </c>
    </row>
    <row r="92" spans="1:91" s="8" customFormat="1" ht="13.5" customHeight="1" x14ac:dyDescent="0.2">
      <c r="A92" s="36">
        <f t="shared" si="104"/>
        <v>695058</v>
      </c>
      <c r="B92" s="1" t="str">
        <f>IF($B$91="","",IF(EDATE($B$91,1)&lt;=$D$17,EDATE($B$91,1),""))</f>
        <v/>
      </c>
      <c r="C92" s="88" t="str">
        <f>+IF(B92="","","Janvier"&amp;" "&amp;YEAR(B92))</f>
        <v/>
      </c>
      <c r="D92" s="101"/>
      <c r="E92" s="37"/>
      <c r="F92" s="187">
        <f t="shared" si="93"/>
        <v>0</v>
      </c>
      <c r="G92" s="187">
        <f t="shared" si="105"/>
        <v>0</v>
      </c>
      <c r="H92" s="109"/>
      <c r="J92" s="109"/>
      <c r="K92" s="110"/>
      <c r="M92" s="88" t="str">
        <f t="shared" si="91"/>
        <v/>
      </c>
      <c r="N92" s="101"/>
      <c r="P92" s="109"/>
      <c r="AV92" s="167">
        <f t="shared" si="94"/>
        <v>0</v>
      </c>
      <c r="AW92" s="169">
        <f t="shared" si="95"/>
        <v>0</v>
      </c>
      <c r="AX92" s="169">
        <f t="shared" si="106"/>
        <v>0</v>
      </c>
      <c r="AY92" s="171">
        <f t="shared" si="96"/>
        <v>0</v>
      </c>
      <c r="AZ92" s="176">
        <f t="shared" ref="AZ92:AZ96" si="116">IF($E92&gt;=0.1,MIN($E92-$AW92,$D$63-$BA91),0)</f>
        <v>0</v>
      </c>
      <c r="BA92" s="169">
        <f t="shared" si="107"/>
        <v>0</v>
      </c>
      <c r="BB92" s="177">
        <f t="shared" si="98"/>
        <v>0</v>
      </c>
      <c r="BC92" s="176">
        <f t="shared" si="108"/>
        <v>0</v>
      </c>
      <c r="BD92" s="169">
        <f t="shared" si="109"/>
        <v>0</v>
      </c>
      <c r="BE92" s="177">
        <f t="shared" si="99"/>
        <v>0</v>
      </c>
      <c r="BF92" s="176">
        <f t="shared" si="110"/>
        <v>0</v>
      </c>
      <c r="BG92" s="169">
        <f t="shared" si="111"/>
        <v>0</v>
      </c>
      <c r="BH92" s="177">
        <f t="shared" si="100"/>
        <v>0</v>
      </c>
      <c r="BI92" s="176">
        <f t="shared" si="112"/>
        <v>0</v>
      </c>
      <c r="BJ92" s="169">
        <f t="shared" si="113"/>
        <v>0</v>
      </c>
      <c r="BK92" s="177">
        <f t="shared" si="101"/>
        <v>0</v>
      </c>
      <c r="BL92" s="176">
        <f t="shared" si="114"/>
        <v>0</v>
      </c>
      <c r="BM92" s="169">
        <f t="shared" si="115"/>
        <v>0</v>
      </c>
      <c r="BN92" s="177">
        <f t="shared" si="102"/>
        <v>0</v>
      </c>
      <c r="BO92" s="182">
        <f t="shared" si="103"/>
        <v>0</v>
      </c>
      <c r="CL92" s="8" t="str">
        <f t="shared" si="92"/>
        <v>NON</v>
      </c>
    </row>
    <row r="93" spans="1:91" s="8" customFormat="1" ht="13.5" customHeight="1" x14ac:dyDescent="0.2">
      <c r="A93" s="36">
        <f t="shared" si="104"/>
        <v>695089</v>
      </c>
      <c r="B93" s="1" t="str">
        <f>IF($B$92="","",IF(EDATE($B$92,1)&lt;=$D$17,EDATE($B$92,1),""))</f>
        <v/>
      </c>
      <c r="C93" s="88" t="str">
        <f>+IF(B93="","","Février"&amp;" "&amp;YEAR(B93))</f>
        <v/>
      </c>
      <c r="D93" s="101"/>
      <c r="E93" s="37"/>
      <c r="F93" s="187">
        <f t="shared" si="93"/>
        <v>0</v>
      </c>
      <c r="G93" s="187">
        <f t="shared" si="105"/>
        <v>0</v>
      </c>
      <c r="H93" s="109"/>
      <c r="J93" s="109"/>
      <c r="K93" s="110"/>
      <c r="M93" s="88" t="str">
        <f t="shared" si="91"/>
        <v/>
      </c>
      <c r="N93" s="101"/>
      <c r="P93" s="109"/>
      <c r="AV93" s="167">
        <f t="shared" si="94"/>
        <v>0</v>
      </c>
      <c r="AW93" s="169">
        <f t="shared" si="95"/>
        <v>0</v>
      </c>
      <c r="AX93" s="169">
        <f t="shared" si="106"/>
        <v>0</v>
      </c>
      <c r="AY93" s="171">
        <f t="shared" si="96"/>
        <v>0</v>
      </c>
      <c r="AZ93" s="176">
        <f t="shared" si="116"/>
        <v>0</v>
      </c>
      <c r="BA93" s="169">
        <f t="shared" si="107"/>
        <v>0</v>
      </c>
      <c r="BB93" s="177">
        <f t="shared" si="98"/>
        <v>0</v>
      </c>
      <c r="BC93" s="176">
        <f t="shared" si="108"/>
        <v>0</v>
      </c>
      <c r="BD93" s="169">
        <f t="shared" si="109"/>
        <v>0</v>
      </c>
      <c r="BE93" s="177">
        <f t="shared" si="99"/>
        <v>0</v>
      </c>
      <c r="BF93" s="176">
        <f t="shared" si="110"/>
        <v>0</v>
      </c>
      <c r="BG93" s="169">
        <f t="shared" si="111"/>
        <v>0</v>
      </c>
      <c r="BH93" s="177">
        <f t="shared" si="100"/>
        <v>0</v>
      </c>
      <c r="BI93" s="176">
        <f t="shared" si="112"/>
        <v>0</v>
      </c>
      <c r="BJ93" s="169">
        <f t="shared" si="113"/>
        <v>0</v>
      </c>
      <c r="BK93" s="177">
        <f t="shared" si="101"/>
        <v>0</v>
      </c>
      <c r="BL93" s="176">
        <f t="shared" si="114"/>
        <v>0</v>
      </c>
      <c r="BM93" s="169">
        <f t="shared" si="115"/>
        <v>0</v>
      </c>
      <c r="BN93" s="177">
        <f t="shared" si="102"/>
        <v>0</v>
      </c>
      <c r="BO93" s="182">
        <f t="shared" si="103"/>
        <v>0</v>
      </c>
      <c r="CL93" s="8" t="str">
        <f t="shared" si="92"/>
        <v>NON</v>
      </c>
    </row>
    <row r="94" spans="1:91" s="8" customFormat="1" ht="13.5" customHeight="1" x14ac:dyDescent="0.2">
      <c r="A94" s="36">
        <f t="shared" si="104"/>
        <v>695117</v>
      </c>
      <c r="B94" s="1" t="str">
        <f>IF($B$93="","",IF(EDATE($B$93,1)&lt;=$D$17,EDATE($B$93,1),""))</f>
        <v/>
      </c>
      <c r="C94" s="88" t="str">
        <f>+IF(B94="","","Mars"&amp;" "&amp;YEAR(B94))</f>
        <v/>
      </c>
      <c r="D94" s="101"/>
      <c r="E94" s="37"/>
      <c r="F94" s="187">
        <f t="shared" si="93"/>
        <v>0</v>
      </c>
      <c r="G94" s="187">
        <f t="shared" si="105"/>
        <v>0</v>
      </c>
      <c r="H94" s="109"/>
      <c r="J94" s="109"/>
      <c r="K94" s="110"/>
      <c r="M94" s="88" t="str">
        <f t="shared" si="91"/>
        <v/>
      </c>
      <c r="N94" s="101"/>
      <c r="P94" s="109"/>
      <c r="AV94" s="167">
        <f t="shared" si="94"/>
        <v>0</v>
      </c>
      <c r="AW94" s="169">
        <f t="shared" si="95"/>
        <v>0</v>
      </c>
      <c r="AX94" s="169">
        <f t="shared" si="106"/>
        <v>0</v>
      </c>
      <c r="AY94" s="171">
        <f t="shared" si="96"/>
        <v>0</v>
      </c>
      <c r="AZ94" s="176">
        <f t="shared" si="116"/>
        <v>0</v>
      </c>
      <c r="BA94" s="169">
        <f t="shared" si="107"/>
        <v>0</v>
      </c>
      <c r="BB94" s="177">
        <f t="shared" si="98"/>
        <v>0</v>
      </c>
      <c r="BC94" s="176">
        <f t="shared" si="108"/>
        <v>0</v>
      </c>
      <c r="BD94" s="169">
        <f t="shared" si="109"/>
        <v>0</v>
      </c>
      <c r="BE94" s="177">
        <f t="shared" si="99"/>
        <v>0</v>
      </c>
      <c r="BF94" s="176">
        <f t="shared" si="110"/>
        <v>0</v>
      </c>
      <c r="BG94" s="169">
        <f t="shared" si="111"/>
        <v>0</v>
      </c>
      <c r="BH94" s="177">
        <f t="shared" si="100"/>
        <v>0</v>
      </c>
      <c r="BI94" s="176">
        <f t="shared" si="112"/>
        <v>0</v>
      </c>
      <c r="BJ94" s="169">
        <f t="shared" si="113"/>
        <v>0</v>
      </c>
      <c r="BK94" s="177">
        <f t="shared" si="101"/>
        <v>0</v>
      </c>
      <c r="BL94" s="176">
        <f t="shared" si="114"/>
        <v>0</v>
      </c>
      <c r="BM94" s="169">
        <f t="shared" si="115"/>
        <v>0</v>
      </c>
      <c r="BN94" s="177">
        <f t="shared" si="102"/>
        <v>0</v>
      </c>
      <c r="BO94" s="182">
        <f t="shared" si="103"/>
        <v>0</v>
      </c>
      <c r="CL94" s="8" t="str">
        <f t="shared" si="92"/>
        <v>NON</v>
      </c>
    </row>
    <row r="95" spans="1:91" s="8" customFormat="1" ht="13.5" customHeight="1" x14ac:dyDescent="0.2">
      <c r="A95" s="36">
        <f t="shared" si="104"/>
        <v>695148</v>
      </c>
      <c r="B95" s="1" t="str">
        <f>IF($B$94="","",IF(EDATE($B$94,1)&lt;=$D$17,EDATE($B$94,1),""))</f>
        <v/>
      </c>
      <c r="C95" s="88" t="str">
        <f>+IF(B95="","","Avril"&amp;" "&amp;YEAR(B95))</f>
        <v/>
      </c>
      <c r="D95" s="101"/>
      <c r="E95" s="37"/>
      <c r="F95" s="187">
        <f t="shared" si="93"/>
        <v>0</v>
      </c>
      <c r="G95" s="187">
        <f t="shared" si="105"/>
        <v>0</v>
      </c>
      <c r="H95" s="109"/>
      <c r="J95" s="109"/>
      <c r="K95" s="110"/>
      <c r="M95" s="88" t="str">
        <f t="shared" si="91"/>
        <v/>
      </c>
      <c r="N95" s="101"/>
      <c r="P95" s="109"/>
      <c r="AV95" s="167">
        <f t="shared" si="94"/>
        <v>0</v>
      </c>
      <c r="AW95" s="169">
        <f t="shared" si="95"/>
        <v>0</v>
      </c>
      <c r="AX95" s="169">
        <f t="shared" si="106"/>
        <v>0</v>
      </c>
      <c r="AY95" s="171">
        <f t="shared" si="96"/>
        <v>0</v>
      </c>
      <c r="AZ95" s="176">
        <f t="shared" si="116"/>
        <v>0</v>
      </c>
      <c r="BA95" s="169">
        <f t="shared" si="107"/>
        <v>0</v>
      </c>
      <c r="BB95" s="177">
        <f t="shared" si="98"/>
        <v>0</v>
      </c>
      <c r="BC95" s="176">
        <f t="shared" si="108"/>
        <v>0</v>
      </c>
      <c r="BD95" s="169">
        <f t="shared" si="109"/>
        <v>0</v>
      </c>
      <c r="BE95" s="177">
        <f t="shared" si="99"/>
        <v>0</v>
      </c>
      <c r="BF95" s="176">
        <f t="shared" si="110"/>
        <v>0</v>
      </c>
      <c r="BG95" s="169">
        <f t="shared" si="111"/>
        <v>0</v>
      </c>
      <c r="BH95" s="177">
        <f t="shared" si="100"/>
        <v>0</v>
      </c>
      <c r="BI95" s="176">
        <f t="shared" si="112"/>
        <v>0</v>
      </c>
      <c r="BJ95" s="169">
        <f t="shared" si="113"/>
        <v>0</v>
      </c>
      <c r="BK95" s="177">
        <f t="shared" si="101"/>
        <v>0</v>
      </c>
      <c r="BL95" s="176">
        <f t="shared" si="114"/>
        <v>0</v>
      </c>
      <c r="BM95" s="169">
        <f t="shared" si="115"/>
        <v>0</v>
      </c>
      <c r="BN95" s="177">
        <f t="shared" si="102"/>
        <v>0</v>
      </c>
      <c r="BO95" s="182">
        <f t="shared" si="103"/>
        <v>0</v>
      </c>
      <c r="CL95" s="8" t="str">
        <f t="shared" si="92"/>
        <v>NON</v>
      </c>
    </row>
    <row r="96" spans="1:91" s="8" customFormat="1" ht="13.5" customHeight="1" x14ac:dyDescent="0.2">
      <c r="A96" s="36">
        <f t="shared" si="104"/>
        <v>695178</v>
      </c>
      <c r="B96" s="1" t="str">
        <f>IF($B$95="","",IF(EDATE($B$95,1)&lt;=$D$17,EDATE($B$95,1),""))</f>
        <v/>
      </c>
      <c r="C96" s="88" t="str">
        <f>+IF(B96="","","Mai"&amp;" "&amp;YEAR(B96))</f>
        <v/>
      </c>
      <c r="D96" s="101"/>
      <c r="E96" s="37"/>
      <c r="F96" s="187">
        <f t="shared" si="93"/>
        <v>0</v>
      </c>
      <c r="G96" s="187">
        <f t="shared" si="105"/>
        <v>0</v>
      </c>
      <c r="H96" s="109"/>
      <c r="J96" s="109"/>
      <c r="K96" s="110"/>
      <c r="M96" s="88" t="str">
        <f t="shared" si="91"/>
        <v/>
      </c>
      <c r="N96" s="101"/>
      <c r="P96" s="109"/>
      <c r="AV96" s="168">
        <f t="shared" si="94"/>
        <v>0</v>
      </c>
      <c r="AW96" s="170">
        <f t="shared" si="95"/>
        <v>0</v>
      </c>
      <c r="AX96" s="170">
        <f t="shared" si="106"/>
        <v>0</v>
      </c>
      <c r="AY96" s="172">
        <f t="shared" si="96"/>
        <v>0</v>
      </c>
      <c r="AZ96" s="178">
        <f t="shared" si="116"/>
        <v>0</v>
      </c>
      <c r="BA96" s="170">
        <f t="shared" si="107"/>
        <v>0</v>
      </c>
      <c r="BB96" s="179">
        <f t="shared" si="98"/>
        <v>0</v>
      </c>
      <c r="BC96" s="178">
        <f t="shared" si="108"/>
        <v>0</v>
      </c>
      <c r="BD96" s="170">
        <f t="shared" si="109"/>
        <v>0</v>
      </c>
      <c r="BE96" s="179">
        <f t="shared" si="99"/>
        <v>0</v>
      </c>
      <c r="BF96" s="178">
        <f t="shared" si="110"/>
        <v>0</v>
      </c>
      <c r="BG96" s="170">
        <f t="shared" si="111"/>
        <v>0</v>
      </c>
      <c r="BH96" s="179">
        <f t="shared" si="100"/>
        <v>0</v>
      </c>
      <c r="BI96" s="178">
        <f t="shared" si="112"/>
        <v>0</v>
      </c>
      <c r="BJ96" s="170">
        <f t="shared" si="113"/>
        <v>0</v>
      </c>
      <c r="BK96" s="179">
        <f t="shared" si="101"/>
        <v>0</v>
      </c>
      <c r="BL96" s="178">
        <f t="shared" si="114"/>
        <v>0</v>
      </c>
      <c r="BM96" s="170">
        <f t="shared" si="115"/>
        <v>0</v>
      </c>
      <c r="BN96" s="179">
        <f t="shared" si="102"/>
        <v>0</v>
      </c>
      <c r="BO96" s="183">
        <f t="shared" si="103"/>
        <v>0</v>
      </c>
      <c r="CL96" s="8" t="str">
        <f t="shared" si="92"/>
        <v>NON</v>
      </c>
      <c r="CM96" s="8" t="s">
        <v>81</v>
      </c>
    </row>
    <row r="97" spans="1:91" s="8" customFormat="1" ht="12.75" x14ac:dyDescent="0.2">
      <c r="A97" s="4"/>
      <c r="B97" s="6"/>
      <c r="C97" s="38" t="s">
        <v>82</v>
      </c>
      <c r="D97" s="39">
        <f>+N99</f>
        <v>0</v>
      </c>
      <c r="F97" s="125"/>
      <c r="G97" s="125"/>
      <c r="J97" s="40">
        <f>+P99</f>
        <v>0</v>
      </c>
      <c r="BO97" s="166"/>
    </row>
    <row r="98" spans="1:91" s="8" customFormat="1" ht="13.5" customHeight="1" x14ac:dyDescent="0.2">
      <c r="A98" s="36"/>
      <c r="B98" s="1"/>
      <c r="C98" s="41" t="s">
        <v>83</v>
      </c>
      <c r="D98" s="42"/>
      <c r="E98" s="43"/>
      <c r="F98" s="125"/>
      <c r="G98" s="125"/>
      <c r="J98" s="116"/>
      <c r="K98" s="134"/>
      <c r="AY98" s="173">
        <f>SUM(AY85:AY96)</f>
        <v>0</v>
      </c>
      <c r="BB98" s="173">
        <f>SUM(BB85:BB96)</f>
        <v>0</v>
      </c>
      <c r="BE98" s="173">
        <f>SUM(BE85:BE96)</f>
        <v>0</v>
      </c>
      <c r="BH98" s="173">
        <f>SUM(BH85:BH96)</f>
        <v>0</v>
      </c>
      <c r="BK98" s="173">
        <f>SUM(BK85:BK96)</f>
        <v>0</v>
      </c>
      <c r="BN98" s="173">
        <f>SUM(BN85:BN96)</f>
        <v>0</v>
      </c>
      <c r="BO98" s="184">
        <f>SUM(BO85:BO97)</f>
        <v>0</v>
      </c>
      <c r="CM98" s="8" t="str">
        <f>+IF(C103="","NON","OUI")</f>
        <v>NON</v>
      </c>
    </row>
    <row r="99" spans="1:91" s="8" customFormat="1" ht="40.5" customHeight="1" x14ac:dyDescent="0.2">
      <c r="A99" s="36"/>
      <c r="B99" s="1"/>
      <c r="C99" s="157" t="s">
        <v>84</v>
      </c>
      <c r="D99" s="155">
        <f>MIN(ROUNDUP(SUM(D85:D98),0),30)</f>
        <v>0</v>
      </c>
      <c r="E99" s="165">
        <f>SUM(E85:E96)</f>
        <v>0</v>
      </c>
      <c r="F99" s="204" t="str">
        <f>+IF($E$139&gt;$D$139,"TROP DE JOURS pris par rapport aux jours acquis ou aux jours en cours d'acquisition","")</f>
        <v/>
      </c>
      <c r="G99" s="205"/>
      <c r="H99" s="205"/>
      <c r="J99" s="135">
        <f>SUM(J85:J98)</f>
        <v>0</v>
      </c>
      <c r="K99" s="118" t="e">
        <f>"Valeur d'un jour ouvrable de CP en 10% = "&amp;ROUND(J99,2)&amp;" € / "&amp;ROUNDUP(SUM(D85:D96),0)&amp;" jrs X 0,10 = "&amp;ROUND(J99/(ROUNDUP(SUM(D85:D96),0))*0.1,2)&amp;" €"</f>
        <v>#DIV/0!</v>
      </c>
      <c r="N99" s="39">
        <f>SUM(N85:N96)</f>
        <v>0</v>
      </c>
      <c r="P99" s="48">
        <f>SUM(P85:P96)</f>
        <v>0</v>
      </c>
    </row>
    <row r="100" spans="1:91" s="8" customFormat="1" ht="30" hidden="1" customHeight="1" thickBot="1" x14ac:dyDescent="0.25">
      <c r="A100" s="36"/>
      <c r="B100" s="1"/>
      <c r="C100" s="156" t="s">
        <v>85</v>
      </c>
      <c r="D100" s="153">
        <f>+D82+D99</f>
        <v>0</v>
      </c>
      <c r="E100" s="154">
        <f>+E99+E82</f>
        <v>0</v>
      </c>
      <c r="J100" s="52">
        <f>+J82+J99</f>
        <v>0</v>
      </c>
      <c r="K100" s="114"/>
      <c r="L100" s="93"/>
    </row>
    <row r="101" spans="1:91" s="8" customFormat="1" ht="48" customHeight="1" x14ac:dyDescent="0.2">
      <c r="A101" s="36"/>
      <c r="B101" s="1"/>
      <c r="C101" s="58"/>
      <c r="D101" s="59"/>
      <c r="E101" s="60"/>
      <c r="J101" s="61"/>
      <c r="K101" s="114"/>
      <c r="AW101" s="206" t="str">
        <f>+AW83</f>
        <v>Période : 
Janvier 1900 à Mai 1905</v>
      </c>
      <c r="AX101" s="206"/>
      <c r="AY101" s="206"/>
      <c r="AZ101" s="206" t="e">
        <f>+AZ83</f>
        <v>#VALUE!</v>
      </c>
      <c r="BA101" s="206"/>
      <c r="BB101" s="206"/>
      <c r="BC101" s="206" t="e">
        <f t="shared" ref="BC101" si="117">+BC83</f>
        <v>#VALUE!</v>
      </c>
      <c r="BD101" s="206"/>
      <c r="BE101" s="206"/>
      <c r="BF101" s="206" t="e">
        <f t="shared" ref="BF101" si="118">+BF83</f>
        <v>#VALUE!</v>
      </c>
      <c r="BG101" s="206"/>
      <c r="BH101" s="206"/>
      <c r="BI101" s="206" t="e">
        <f t="shared" ref="BI101" si="119">+BI83</f>
        <v>#VALUE!</v>
      </c>
      <c r="BJ101" s="206"/>
      <c r="BK101" s="206"/>
      <c r="BL101" s="206" t="e">
        <f t="shared" ref="BL101" si="120">+BL83</f>
        <v>#VALUE!</v>
      </c>
      <c r="BM101" s="206"/>
      <c r="BN101" s="206"/>
    </row>
    <row r="102" spans="1:91" s="8" customFormat="1" ht="63.75" x14ac:dyDescent="0.2">
      <c r="A102" s="4"/>
      <c r="B102" s="6"/>
      <c r="C102" s="27" t="e">
        <f>"Période de : "&amp;CHAR(10)&amp;PROPER(+TEXT(B103,"mmmm"))&amp;" "&amp;YEAR(B103)&amp;" à "&amp;IF(D17&gt;=B114,C114,PROPER(+TEXT(D17,"mmmm"))&amp;" "&amp;YEAR(D17))</f>
        <v>#VALUE!</v>
      </c>
      <c r="D102" s="27" t="str">
        <f>+D84</f>
        <v>Jours acquis dans l'année</v>
      </c>
      <c r="E102" s="28" t="s">
        <v>87</v>
      </c>
      <c r="F102" s="28" t="s">
        <v>103</v>
      </c>
      <c r="G102" s="27" t="s">
        <v>94</v>
      </c>
      <c r="H102" s="27" t="s">
        <v>90</v>
      </c>
      <c r="I102" s="105"/>
      <c r="J102" s="27" t="str">
        <f>+J84</f>
        <v>Salaires bruts de l'année (hors indemnités)</v>
      </c>
      <c r="K102" s="27" t="s">
        <v>74</v>
      </c>
      <c r="M102" s="98" t="str">
        <f>+M30</f>
        <v>Mois</v>
      </c>
      <c r="N102" s="98" t="str">
        <f>+N30</f>
        <v>Jrs acquis en arrêt de maladie (2 jrs par mois)</v>
      </c>
      <c r="P102" s="98" t="str">
        <f>+P30</f>
        <v>80% des Salaires bruts correspondants à l'arrêt de maladie</v>
      </c>
      <c r="AV102" s="27" t="s">
        <v>101</v>
      </c>
      <c r="AW102" s="27" t="s">
        <v>87</v>
      </c>
      <c r="AX102" s="27" t="s">
        <v>104</v>
      </c>
      <c r="AY102" s="27" t="s">
        <v>102</v>
      </c>
      <c r="AZ102" s="164" t="s">
        <v>87</v>
      </c>
      <c r="BA102" s="27" t="s">
        <v>104</v>
      </c>
      <c r="BB102" s="27" t="s">
        <v>102</v>
      </c>
      <c r="BC102" s="27" t="s">
        <v>87</v>
      </c>
      <c r="BD102" s="27" t="s">
        <v>104</v>
      </c>
      <c r="BE102" s="27" t="s">
        <v>102</v>
      </c>
      <c r="BF102" s="27" t="s">
        <v>87</v>
      </c>
      <c r="BG102" s="27" t="s">
        <v>104</v>
      </c>
      <c r="BH102" s="27" t="s">
        <v>102</v>
      </c>
      <c r="BI102" s="27" t="s">
        <v>87</v>
      </c>
      <c r="BJ102" s="27" t="s">
        <v>104</v>
      </c>
      <c r="BK102" s="27" t="s">
        <v>102</v>
      </c>
      <c r="BL102" s="27" t="s">
        <v>87</v>
      </c>
      <c r="BM102" s="27" t="s">
        <v>104</v>
      </c>
      <c r="BN102" s="27" t="s">
        <v>102</v>
      </c>
      <c r="BO102" s="27" t="s">
        <v>105</v>
      </c>
      <c r="CL102" s="108" t="s">
        <v>77</v>
      </c>
    </row>
    <row r="103" spans="1:91" s="8" customFormat="1" ht="13.5" customHeight="1" x14ac:dyDescent="0.2">
      <c r="A103" s="36">
        <f>EDATE(A96,1)</f>
        <v>695209</v>
      </c>
      <c r="B103" s="1" t="str">
        <f>IF($B$96="","",IF(EDATE($B$96,1)&lt;=$D$17,EDATE($B$96,1),""))</f>
        <v/>
      </c>
      <c r="C103" s="88" t="str">
        <f>+IF(B103="","","Juin"&amp;" "&amp;YEAR(B103))</f>
        <v/>
      </c>
      <c r="D103" s="101"/>
      <c r="E103" s="37"/>
      <c r="F103" s="187">
        <f>IF(E103&gt;=0.1,G103/26,0)</f>
        <v>0</v>
      </c>
      <c r="G103" s="187">
        <f>+IF(H103="",G96,H103)</f>
        <v>0</v>
      </c>
      <c r="H103" s="109"/>
      <c r="J103" s="109"/>
      <c r="K103" s="110"/>
      <c r="M103" s="88" t="str">
        <f t="shared" ref="M103:M114" si="121">+C103</f>
        <v/>
      </c>
      <c r="N103" s="101"/>
      <c r="P103" s="109"/>
      <c r="AV103" s="185">
        <f>IF(E103&gt;=0.1,G103/26,0)</f>
        <v>0</v>
      </c>
      <c r="AW103" s="169">
        <f>IF($E103&gt;=0.1,+MIN($E103,$D$45-$AX96),0)</f>
        <v>0</v>
      </c>
      <c r="AX103" s="169">
        <f>+AW103+AX96</f>
        <v>0</v>
      </c>
      <c r="AY103" s="171">
        <f>+AW103*$AV103</f>
        <v>0</v>
      </c>
      <c r="AZ103" s="176">
        <f>IF($E103&gt;=0.1,MIN($E103-$AW103,$D$63-$BA96),0)</f>
        <v>0</v>
      </c>
      <c r="BA103" s="169">
        <f>+AZ103+BA96</f>
        <v>0</v>
      </c>
      <c r="BB103" s="175">
        <f>+AZ103*$AV103</f>
        <v>0</v>
      </c>
      <c r="BC103" s="176">
        <f>IF($E103&gt;=0.1,MIN($E103-$AW103-$AZ103,$D$81-$BD96),0)</f>
        <v>0</v>
      </c>
      <c r="BD103" s="169">
        <f>+BC103+BD96</f>
        <v>0</v>
      </c>
      <c r="BE103" s="175">
        <f>+BC103*$AV103</f>
        <v>0</v>
      </c>
      <c r="BF103" s="176">
        <f>IF($E103&gt;=0.1,MIN($E103-$AW103-$AZ103-$BC103,$D$99-$BG96),0)</f>
        <v>0</v>
      </c>
      <c r="BG103" s="169">
        <f>+BF103+BG96</f>
        <v>0</v>
      </c>
      <c r="BH103" s="175">
        <f>+BF103*$AV103</f>
        <v>0</v>
      </c>
      <c r="BI103" s="176">
        <f>IF($E103&gt;=0.1,MIN($E103-$AW103-$AZ103-$BC103-$BF103,$D$117-$BJ96),0)</f>
        <v>0</v>
      </c>
      <c r="BJ103" s="169">
        <f>+BI103+BJ96</f>
        <v>0</v>
      </c>
      <c r="BK103" s="175">
        <f>+BI103*$AV103</f>
        <v>0</v>
      </c>
      <c r="BL103" s="176">
        <f>IF($E103&gt;=0.1,MIN($E103-$AW103-$AZ103-$BC103-$BF103-$BI103,$D$136-$BM96),0)</f>
        <v>0</v>
      </c>
      <c r="BM103" s="169">
        <f>+BL103+BM96</f>
        <v>0</v>
      </c>
      <c r="BN103" s="175">
        <f>+BL103*$AV103</f>
        <v>0</v>
      </c>
      <c r="BO103" s="181">
        <f>+BL103+BI103+BF103+BC103+AZ103+AW103</f>
        <v>0</v>
      </c>
      <c r="CL103" s="8" t="str">
        <f t="shared" ref="CL103:CL114" si="122">IF(B103="","NON",+IF(AND(DATE(YEAR(B103),MONTH(B103),1)&gt;=DATE(YEAR($D$15),MONTH($D$15),1),DATE(YEAR(B103),MONTH(B103),1)&lt;=DATE(YEAR($D$17),MONTH($D$17),1)),"OUI","NON"))</f>
        <v>NON</v>
      </c>
    </row>
    <row r="104" spans="1:91" s="8" customFormat="1" ht="13.5" customHeight="1" x14ac:dyDescent="0.2">
      <c r="A104" s="36">
        <f>EDATE(A103,1)</f>
        <v>695239</v>
      </c>
      <c r="B104" s="1" t="str">
        <f>IF($B$103="","",IF(EDATE($B$103,1)&lt;=$D$17,EDATE($B$103,1),""))</f>
        <v/>
      </c>
      <c r="C104" s="88" t="str">
        <f>+IF(B104="","","Juillet"&amp;" "&amp;YEAR(B104))</f>
        <v/>
      </c>
      <c r="D104" s="101"/>
      <c r="E104" s="37"/>
      <c r="F104" s="187">
        <f t="shared" ref="F104:F114" si="123">IF(E104&gt;=0.1,G104/26,0)</f>
        <v>0</v>
      </c>
      <c r="G104" s="187">
        <f>+IF(H104="",G103,H104)</f>
        <v>0</v>
      </c>
      <c r="H104" s="109"/>
      <c r="J104" s="109"/>
      <c r="K104" s="110"/>
      <c r="M104" s="88" t="str">
        <f t="shared" si="121"/>
        <v/>
      </c>
      <c r="N104" s="101"/>
      <c r="P104" s="109"/>
      <c r="AV104" s="167">
        <f t="shared" ref="AV104:AV114" si="124">IF(E104&gt;=0.1,G104/26,0)</f>
        <v>0</v>
      </c>
      <c r="AW104" s="169">
        <f t="shared" ref="AW104:AW114" si="125">IF($E104&gt;=0.1,+MIN($E104,$D$45-$AX103),0)</f>
        <v>0</v>
      </c>
      <c r="AX104" s="169">
        <f>+AX103+AW104</f>
        <v>0</v>
      </c>
      <c r="AY104" s="171">
        <f t="shared" ref="AY104:AY114" si="126">+AW104*$AV104</f>
        <v>0</v>
      </c>
      <c r="AZ104" s="176">
        <f t="shared" ref="AZ104:AZ108" si="127">IF($E104&gt;=0.1,MIN($E104-$AW104,$D$63-$BA103),0)</f>
        <v>0</v>
      </c>
      <c r="BA104" s="169">
        <f>+BA103+AZ104</f>
        <v>0</v>
      </c>
      <c r="BB104" s="177">
        <f t="shared" ref="BB104:BB114" si="128">+AZ104*$AV104</f>
        <v>0</v>
      </c>
      <c r="BC104" s="176">
        <f>IF($E104&gt;=0.1,MIN($E104-$AW104-$AZ104,$D$81-$BD103),0)</f>
        <v>0</v>
      </c>
      <c r="BD104" s="169">
        <f>+BD103+BC104</f>
        <v>0</v>
      </c>
      <c r="BE104" s="177">
        <f t="shared" ref="BE104:BE114" si="129">+BC104*$AV104</f>
        <v>0</v>
      </c>
      <c r="BF104" s="176">
        <f>IF($E104&gt;=0.1,MIN($E104-$AW104-$AZ104-$BC104,$D$99-$BG103),0)</f>
        <v>0</v>
      </c>
      <c r="BG104" s="169">
        <f>+BG103+BF104</f>
        <v>0</v>
      </c>
      <c r="BH104" s="177">
        <f t="shared" ref="BH104:BH114" si="130">+BF104*$AV104</f>
        <v>0</v>
      </c>
      <c r="BI104" s="176">
        <f>IF($E104&gt;=0.1,MIN($E104-$AW104-$AZ104-$BC104-$BF104,$D$117-$BJ103),0)</f>
        <v>0</v>
      </c>
      <c r="BJ104" s="169">
        <f>+BJ103+BI104</f>
        <v>0</v>
      </c>
      <c r="BK104" s="177">
        <f t="shared" ref="BK104:BK114" si="131">+BI104*$AV104</f>
        <v>0</v>
      </c>
      <c r="BL104" s="176">
        <f>IF($E104&gt;=0.1,MIN($E104-$AW104-$AZ104-$BC104-$BF104-$BI104,$D$136-$BM103),0)</f>
        <v>0</v>
      </c>
      <c r="BM104" s="169">
        <f>+BM103+BL104</f>
        <v>0</v>
      </c>
      <c r="BN104" s="177">
        <f t="shared" ref="BN104:BN114" si="132">+BL104*$AV104</f>
        <v>0</v>
      </c>
      <c r="BO104" s="182">
        <f t="shared" ref="BO104:BO114" si="133">+BL104+BI104+BF104+BC104+AZ104+AW104</f>
        <v>0</v>
      </c>
      <c r="CL104" s="8" t="str">
        <f t="shared" si="122"/>
        <v>NON</v>
      </c>
    </row>
    <row r="105" spans="1:91" s="8" customFormat="1" ht="13.5" customHeight="1" x14ac:dyDescent="0.2">
      <c r="A105" s="36">
        <f t="shared" ref="A105:A114" si="134">EDATE(A104,1)</f>
        <v>695270</v>
      </c>
      <c r="B105" s="1" t="str">
        <f>IF($B$104="","",IF(EDATE($B$104,1)&lt;=$D$17,EDATE($B$104,1),""))</f>
        <v/>
      </c>
      <c r="C105" s="88" t="str">
        <f>+IF(B105="","","Aout"&amp;" "&amp;YEAR(B105))</f>
        <v/>
      </c>
      <c r="D105" s="101"/>
      <c r="E105" s="37"/>
      <c r="F105" s="187">
        <f t="shared" si="123"/>
        <v>0</v>
      </c>
      <c r="G105" s="187">
        <f t="shared" ref="G105:G114" si="135">+IF(H105="",G104,H105)</f>
        <v>0</v>
      </c>
      <c r="H105" s="109"/>
      <c r="J105" s="109"/>
      <c r="K105" s="110"/>
      <c r="M105" s="88" t="str">
        <f t="shared" si="121"/>
        <v/>
      </c>
      <c r="N105" s="101"/>
      <c r="P105" s="109"/>
      <c r="AV105" s="167">
        <f t="shared" si="124"/>
        <v>0</v>
      </c>
      <c r="AW105" s="169">
        <f t="shared" si="125"/>
        <v>0</v>
      </c>
      <c r="AX105" s="169">
        <f t="shared" ref="AX105:AX114" si="136">+AX104+AW105</f>
        <v>0</v>
      </c>
      <c r="AY105" s="171">
        <f t="shared" si="126"/>
        <v>0</v>
      </c>
      <c r="AZ105" s="176">
        <f t="shared" si="127"/>
        <v>0</v>
      </c>
      <c r="BA105" s="169">
        <f t="shared" ref="BA105:BA114" si="137">+BA104+AZ105</f>
        <v>0</v>
      </c>
      <c r="BB105" s="177">
        <f t="shared" si="128"/>
        <v>0</v>
      </c>
      <c r="BC105" s="176">
        <f t="shared" ref="BC105:BC114" si="138">IF($E105&gt;=0.1,MIN($E105-$AW105-$AZ105,$D$81-$BD104),0)</f>
        <v>0</v>
      </c>
      <c r="BD105" s="169">
        <f t="shared" ref="BD105:BD114" si="139">+BD104+BC105</f>
        <v>0</v>
      </c>
      <c r="BE105" s="177">
        <f t="shared" si="129"/>
        <v>0</v>
      </c>
      <c r="BF105" s="176">
        <f t="shared" ref="BF105:BF114" si="140">IF($E105&gt;=0.1,MIN($E105-$AW105-$AZ105-$BC105,$D$99-$BG104),0)</f>
        <v>0</v>
      </c>
      <c r="BG105" s="169">
        <f t="shared" ref="BG105:BG114" si="141">+BG104+BF105</f>
        <v>0</v>
      </c>
      <c r="BH105" s="177">
        <f t="shared" si="130"/>
        <v>0</v>
      </c>
      <c r="BI105" s="176">
        <f t="shared" ref="BI105:BI114" si="142">IF($E105&gt;=0.1,MIN($E105-$AW105-$AZ105-$BC105-$BF105,$D$117-$BJ104),0)</f>
        <v>0</v>
      </c>
      <c r="BJ105" s="169">
        <f t="shared" ref="BJ105:BJ114" si="143">+BJ104+BI105</f>
        <v>0</v>
      </c>
      <c r="BK105" s="177">
        <f t="shared" si="131"/>
        <v>0</v>
      </c>
      <c r="BL105" s="176">
        <f t="shared" ref="BL105:BL114" si="144">IF($E105&gt;=0.1,MIN($E105-$AW105-$AZ105-$BC105-$BF105-$BI105,$D$136-$BM104),0)</f>
        <v>0</v>
      </c>
      <c r="BM105" s="169">
        <f t="shared" ref="BM105:BM114" si="145">+BM104+BL105</f>
        <v>0</v>
      </c>
      <c r="BN105" s="177">
        <f t="shared" si="132"/>
        <v>0</v>
      </c>
      <c r="BO105" s="182">
        <f t="shared" si="133"/>
        <v>0</v>
      </c>
      <c r="CL105" s="8" t="str">
        <f t="shared" si="122"/>
        <v>NON</v>
      </c>
    </row>
    <row r="106" spans="1:91" s="8" customFormat="1" ht="13.5" customHeight="1" x14ac:dyDescent="0.2">
      <c r="A106" s="36">
        <f t="shared" si="134"/>
        <v>695301</v>
      </c>
      <c r="B106" s="1" t="str">
        <f>IF($B$105="","",IF(EDATE($B$105,1)&lt;=$D$17,EDATE($B$105,1),""))</f>
        <v/>
      </c>
      <c r="C106" s="88" t="str">
        <f>+IF(B106="","","Septembre"&amp;" "&amp;YEAR(B106))</f>
        <v/>
      </c>
      <c r="D106" s="101"/>
      <c r="E106" s="37"/>
      <c r="F106" s="187">
        <f t="shared" si="123"/>
        <v>0</v>
      </c>
      <c r="G106" s="187">
        <f t="shared" si="135"/>
        <v>0</v>
      </c>
      <c r="H106" s="109"/>
      <c r="J106" s="109"/>
      <c r="K106" s="110"/>
      <c r="M106" s="88" t="str">
        <f t="shared" si="121"/>
        <v/>
      </c>
      <c r="N106" s="101"/>
      <c r="P106" s="109"/>
      <c r="AV106" s="167">
        <f t="shared" si="124"/>
        <v>0</v>
      </c>
      <c r="AW106" s="169">
        <f t="shared" si="125"/>
        <v>0</v>
      </c>
      <c r="AX106" s="169">
        <f t="shared" si="136"/>
        <v>0</v>
      </c>
      <c r="AY106" s="171">
        <f t="shared" si="126"/>
        <v>0</v>
      </c>
      <c r="AZ106" s="176">
        <f t="shared" si="127"/>
        <v>0</v>
      </c>
      <c r="BA106" s="169">
        <f t="shared" si="137"/>
        <v>0</v>
      </c>
      <c r="BB106" s="177">
        <f t="shared" si="128"/>
        <v>0</v>
      </c>
      <c r="BC106" s="176">
        <f t="shared" si="138"/>
        <v>0</v>
      </c>
      <c r="BD106" s="169">
        <f t="shared" si="139"/>
        <v>0</v>
      </c>
      <c r="BE106" s="177">
        <f t="shared" si="129"/>
        <v>0</v>
      </c>
      <c r="BF106" s="176">
        <f t="shared" si="140"/>
        <v>0</v>
      </c>
      <c r="BG106" s="169">
        <f t="shared" si="141"/>
        <v>0</v>
      </c>
      <c r="BH106" s="177">
        <f t="shared" si="130"/>
        <v>0</v>
      </c>
      <c r="BI106" s="176">
        <f t="shared" si="142"/>
        <v>0</v>
      </c>
      <c r="BJ106" s="169">
        <f t="shared" si="143"/>
        <v>0</v>
      </c>
      <c r="BK106" s="177">
        <f t="shared" si="131"/>
        <v>0</v>
      </c>
      <c r="BL106" s="176">
        <f t="shared" si="144"/>
        <v>0</v>
      </c>
      <c r="BM106" s="169">
        <f t="shared" si="145"/>
        <v>0</v>
      </c>
      <c r="BN106" s="177">
        <f t="shared" si="132"/>
        <v>0</v>
      </c>
      <c r="BO106" s="182">
        <f t="shared" si="133"/>
        <v>0</v>
      </c>
      <c r="CL106" s="8" t="str">
        <f t="shared" si="122"/>
        <v>NON</v>
      </c>
    </row>
    <row r="107" spans="1:91" s="8" customFormat="1" ht="13.5" customHeight="1" x14ac:dyDescent="0.2">
      <c r="A107" s="36">
        <f t="shared" si="134"/>
        <v>695331</v>
      </c>
      <c r="B107" s="1" t="str">
        <f>IF($B$106="","",IF(EDATE($B$106,1)&lt;=$D$17,EDATE($B$106,1),""))</f>
        <v/>
      </c>
      <c r="C107" s="88" t="str">
        <f>+IF(B107="","","Octobre"&amp;" "&amp;YEAR(B107))</f>
        <v/>
      </c>
      <c r="D107" s="101"/>
      <c r="E107" s="37"/>
      <c r="F107" s="187">
        <f t="shared" si="123"/>
        <v>0</v>
      </c>
      <c r="G107" s="187">
        <f t="shared" si="135"/>
        <v>0</v>
      </c>
      <c r="H107" s="109"/>
      <c r="J107" s="109"/>
      <c r="K107" s="110"/>
      <c r="M107" s="88" t="str">
        <f t="shared" si="121"/>
        <v/>
      </c>
      <c r="N107" s="101"/>
      <c r="P107" s="109"/>
      <c r="AV107" s="167">
        <f t="shared" si="124"/>
        <v>0</v>
      </c>
      <c r="AW107" s="169">
        <f t="shared" si="125"/>
        <v>0</v>
      </c>
      <c r="AX107" s="169">
        <f t="shared" si="136"/>
        <v>0</v>
      </c>
      <c r="AY107" s="171">
        <f t="shared" si="126"/>
        <v>0</v>
      </c>
      <c r="AZ107" s="176">
        <f t="shared" si="127"/>
        <v>0</v>
      </c>
      <c r="BA107" s="169">
        <f t="shared" si="137"/>
        <v>0</v>
      </c>
      <c r="BB107" s="177">
        <f t="shared" si="128"/>
        <v>0</v>
      </c>
      <c r="BC107" s="176">
        <f t="shared" si="138"/>
        <v>0</v>
      </c>
      <c r="BD107" s="169">
        <f t="shared" si="139"/>
        <v>0</v>
      </c>
      <c r="BE107" s="177">
        <f t="shared" si="129"/>
        <v>0</v>
      </c>
      <c r="BF107" s="176">
        <f t="shared" si="140"/>
        <v>0</v>
      </c>
      <c r="BG107" s="169">
        <f t="shared" si="141"/>
        <v>0</v>
      </c>
      <c r="BH107" s="177">
        <f t="shared" si="130"/>
        <v>0</v>
      </c>
      <c r="BI107" s="176">
        <f t="shared" si="142"/>
        <v>0</v>
      </c>
      <c r="BJ107" s="169">
        <f t="shared" si="143"/>
        <v>0</v>
      </c>
      <c r="BK107" s="177">
        <f t="shared" si="131"/>
        <v>0</v>
      </c>
      <c r="BL107" s="176">
        <f t="shared" si="144"/>
        <v>0</v>
      </c>
      <c r="BM107" s="169">
        <f t="shared" si="145"/>
        <v>0</v>
      </c>
      <c r="BN107" s="177">
        <f t="shared" si="132"/>
        <v>0</v>
      </c>
      <c r="BO107" s="182">
        <f t="shared" si="133"/>
        <v>0</v>
      </c>
      <c r="CL107" s="8" t="str">
        <f t="shared" si="122"/>
        <v>NON</v>
      </c>
    </row>
    <row r="108" spans="1:91" s="8" customFormat="1" ht="13.5" customHeight="1" x14ac:dyDescent="0.2">
      <c r="A108" s="36">
        <f t="shared" si="134"/>
        <v>695362</v>
      </c>
      <c r="B108" s="1" t="str">
        <f>IF($B$107="","",IF(EDATE($B$107,1)&lt;=$D$17,EDATE($B$107,1),""))</f>
        <v/>
      </c>
      <c r="C108" s="88" t="str">
        <f>+IF(B108="","","Novembre"&amp;" "&amp;YEAR(B108))</f>
        <v/>
      </c>
      <c r="D108" s="101"/>
      <c r="E108" s="37"/>
      <c r="F108" s="187">
        <f t="shared" si="123"/>
        <v>0</v>
      </c>
      <c r="G108" s="187">
        <f t="shared" si="135"/>
        <v>0</v>
      </c>
      <c r="H108" s="109"/>
      <c r="J108" s="109"/>
      <c r="K108" s="110"/>
      <c r="M108" s="88" t="str">
        <f t="shared" si="121"/>
        <v/>
      </c>
      <c r="N108" s="101"/>
      <c r="P108" s="109"/>
      <c r="AV108" s="167">
        <f t="shared" si="124"/>
        <v>0</v>
      </c>
      <c r="AW108" s="169">
        <f t="shared" si="125"/>
        <v>0</v>
      </c>
      <c r="AX108" s="169">
        <f t="shared" si="136"/>
        <v>0</v>
      </c>
      <c r="AY108" s="171">
        <f t="shared" si="126"/>
        <v>0</v>
      </c>
      <c r="AZ108" s="176">
        <f t="shared" si="127"/>
        <v>0</v>
      </c>
      <c r="BA108" s="169">
        <f t="shared" si="137"/>
        <v>0</v>
      </c>
      <c r="BB108" s="177">
        <f t="shared" si="128"/>
        <v>0</v>
      </c>
      <c r="BC108" s="176">
        <f t="shared" si="138"/>
        <v>0</v>
      </c>
      <c r="BD108" s="169">
        <f t="shared" si="139"/>
        <v>0</v>
      </c>
      <c r="BE108" s="177">
        <f t="shared" si="129"/>
        <v>0</v>
      </c>
      <c r="BF108" s="176">
        <f t="shared" si="140"/>
        <v>0</v>
      </c>
      <c r="BG108" s="169">
        <f t="shared" si="141"/>
        <v>0</v>
      </c>
      <c r="BH108" s="177">
        <f t="shared" si="130"/>
        <v>0</v>
      </c>
      <c r="BI108" s="176">
        <f t="shared" si="142"/>
        <v>0</v>
      </c>
      <c r="BJ108" s="169">
        <f t="shared" si="143"/>
        <v>0</v>
      </c>
      <c r="BK108" s="177">
        <f t="shared" si="131"/>
        <v>0</v>
      </c>
      <c r="BL108" s="176">
        <f t="shared" si="144"/>
        <v>0</v>
      </c>
      <c r="BM108" s="169">
        <f t="shared" si="145"/>
        <v>0</v>
      </c>
      <c r="BN108" s="177">
        <f t="shared" si="132"/>
        <v>0</v>
      </c>
      <c r="BO108" s="182">
        <f t="shared" si="133"/>
        <v>0</v>
      </c>
      <c r="CL108" s="8" t="str">
        <f t="shared" si="122"/>
        <v>NON</v>
      </c>
    </row>
    <row r="109" spans="1:91" s="8" customFormat="1" ht="13.5" customHeight="1" x14ac:dyDescent="0.2">
      <c r="A109" s="36">
        <f t="shared" si="134"/>
        <v>695392</v>
      </c>
      <c r="B109" s="1" t="str">
        <f>IF($B$108="","",IF(EDATE($B$108,1)&lt;=$D$17,EDATE($B$108,1),""))</f>
        <v/>
      </c>
      <c r="C109" s="88" t="str">
        <f>+IF(B109="","","Décembre"&amp;" "&amp;YEAR(B109))</f>
        <v/>
      </c>
      <c r="D109" s="101"/>
      <c r="E109" s="37"/>
      <c r="F109" s="187">
        <f t="shared" si="123"/>
        <v>0</v>
      </c>
      <c r="G109" s="187">
        <f t="shared" si="135"/>
        <v>0</v>
      </c>
      <c r="H109" s="109"/>
      <c r="J109" s="109"/>
      <c r="K109" s="110"/>
      <c r="M109" s="88" t="str">
        <f t="shared" si="121"/>
        <v/>
      </c>
      <c r="N109" s="101"/>
      <c r="P109" s="109"/>
      <c r="AV109" s="167">
        <f t="shared" si="124"/>
        <v>0</v>
      </c>
      <c r="AW109" s="169">
        <f t="shared" si="125"/>
        <v>0</v>
      </c>
      <c r="AX109" s="169">
        <f t="shared" si="136"/>
        <v>0</v>
      </c>
      <c r="AY109" s="171">
        <f t="shared" si="126"/>
        <v>0</v>
      </c>
      <c r="AZ109" s="176">
        <f>IF($E109&gt;=0.1,MIN($E109-$AW109,$D$63-$BA108),0)</f>
        <v>0</v>
      </c>
      <c r="BA109" s="169">
        <f t="shared" si="137"/>
        <v>0</v>
      </c>
      <c r="BB109" s="177">
        <f t="shared" si="128"/>
        <v>0</v>
      </c>
      <c r="BC109" s="176">
        <f t="shared" si="138"/>
        <v>0</v>
      </c>
      <c r="BD109" s="169">
        <f t="shared" si="139"/>
        <v>0</v>
      </c>
      <c r="BE109" s="177">
        <f t="shared" si="129"/>
        <v>0</v>
      </c>
      <c r="BF109" s="176">
        <f t="shared" si="140"/>
        <v>0</v>
      </c>
      <c r="BG109" s="169">
        <f t="shared" si="141"/>
        <v>0</v>
      </c>
      <c r="BH109" s="177">
        <f t="shared" si="130"/>
        <v>0</v>
      </c>
      <c r="BI109" s="176">
        <f t="shared" si="142"/>
        <v>0</v>
      </c>
      <c r="BJ109" s="169">
        <f t="shared" si="143"/>
        <v>0</v>
      </c>
      <c r="BK109" s="177">
        <f t="shared" si="131"/>
        <v>0</v>
      </c>
      <c r="BL109" s="176">
        <f t="shared" si="144"/>
        <v>0</v>
      </c>
      <c r="BM109" s="169">
        <f t="shared" si="145"/>
        <v>0</v>
      </c>
      <c r="BN109" s="177">
        <f t="shared" si="132"/>
        <v>0</v>
      </c>
      <c r="BO109" s="182">
        <f t="shared" si="133"/>
        <v>0</v>
      </c>
      <c r="CL109" s="8" t="str">
        <f t="shared" si="122"/>
        <v>NON</v>
      </c>
    </row>
    <row r="110" spans="1:91" s="8" customFormat="1" ht="13.5" customHeight="1" x14ac:dyDescent="0.2">
      <c r="A110" s="36">
        <f t="shared" si="134"/>
        <v>695423</v>
      </c>
      <c r="B110" s="1" t="str">
        <f>IF($B$109="","",IF(EDATE($B$109,1)&lt;=$D$17,EDATE($B$109,1),""))</f>
        <v/>
      </c>
      <c r="C110" s="88" t="str">
        <f>+IF(B110="","","Janvier"&amp;" "&amp;YEAR(B110))</f>
        <v/>
      </c>
      <c r="D110" s="101"/>
      <c r="E110" s="37"/>
      <c r="F110" s="187">
        <f t="shared" si="123"/>
        <v>0</v>
      </c>
      <c r="G110" s="187">
        <f t="shared" si="135"/>
        <v>0</v>
      </c>
      <c r="H110" s="109"/>
      <c r="J110" s="109"/>
      <c r="K110" s="110"/>
      <c r="M110" s="88" t="str">
        <f t="shared" si="121"/>
        <v/>
      </c>
      <c r="N110" s="101"/>
      <c r="P110" s="109"/>
      <c r="AV110" s="167">
        <f t="shared" si="124"/>
        <v>0</v>
      </c>
      <c r="AW110" s="169">
        <f t="shared" si="125"/>
        <v>0</v>
      </c>
      <c r="AX110" s="169">
        <f t="shared" si="136"/>
        <v>0</v>
      </c>
      <c r="AY110" s="171">
        <f t="shared" si="126"/>
        <v>0</v>
      </c>
      <c r="AZ110" s="176">
        <f t="shared" ref="AZ110:AZ114" si="146">IF($E110&gt;=0.1,MIN($E110-$AW110,$D$63-$BA109),0)</f>
        <v>0</v>
      </c>
      <c r="BA110" s="169">
        <f t="shared" si="137"/>
        <v>0</v>
      </c>
      <c r="BB110" s="177">
        <f t="shared" si="128"/>
        <v>0</v>
      </c>
      <c r="BC110" s="176">
        <f t="shared" si="138"/>
        <v>0</v>
      </c>
      <c r="BD110" s="169">
        <f t="shared" si="139"/>
        <v>0</v>
      </c>
      <c r="BE110" s="177">
        <f t="shared" si="129"/>
        <v>0</v>
      </c>
      <c r="BF110" s="176">
        <f t="shared" si="140"/>
        <v>0</v>
      </c>
      <c r="BG110" s="169">
        <f t="shared" si="141"/>
        <v>0</v>
      </c>
      <c r="BH110" s="177">
        <f t="shared" si="130"/>
        <v>0</v>
      </c>
      <c r="BI110" s="176">
        <f t="shared" si="142"/>
        <v>0</v>
      </c>
      <c r="BJ110" s="169">
        <f t="shared" si="143"/>
        <v>0</v>
      </c>
      <c r="BK110" s="177">
        <f t="shared" si="131"/>
        <v>0</v>
      </c>
      <c r="BL110" s="176">
        <f t="shared" si="144"/>
        <v>0</v>
      </c>
      <c r="BM110" s="169">
        <f t="shared" si="145"/>
        <v>0</v>
      </c>
      <c r="BN110" s="177">
        <f t="shared" si="132"/>
        <v>0</v>
      </c>
      <c r="BO110" s="182">
        <f t="shared" si="133"/>
        <v>0</v>
      </c>
      <c r="CL110" s="8" t="str">
        <f t="shared" si="122"/>
        <v>NON</v>
      </c>
    </row>
    <row r="111" spans="1:91" s="8" customFormat="1" ht="13.5" customHeight="1" x14ac:dyDescent="0.2">
      <c r="A111" s="36">
        <f t="shared" si="134"/>
        <v>695454</v>
      </c>
      <c r="B111" s="1" t="str">
        <f>IF($B$110="","",IF(EDATE($B$110,1)&lt;=$D$17,EDATE($B$110,1),""))</f>
        <v/>
      </c>
      <c r="C111" s="88" t="str">
        <f>+IF(B111="","","Février"&amp;" "&amp;YEAR(B111))</f>
        <v/>
      </c>
      <c r="D111" s="101"/>
      <c r="E111" s="37"/>
      <c r="F111" s="187">
        <f t="shared" si="123"/>
        <v>0</v>
      </c>
      <c r="G111" s="187">
        <f t="shared" si="135"/>
        <v>0</v>
      </c>
      <c r="H111" s="109"/>
      <c r="J111" s="109"/>
      <c r="K111" s="110"/>
      <c r="M111" s="88" t="str">
        <f t="shared" si="121"/>
        <v/>
      </c>
      <c r="N111" s="101"/>
      <c r="P111" s="109"/>
      <c r="AV111" s="167">
        <f t="shared" si="124"/>
        <v>0</v>
      </c>
      <c r="AW111" s="169">
        <f t="shared" si="125"/>
        <v>0</v>
      </c>
      <c r="AX111" s="169">
        <f t="shared" si="136"/>
        <v>0</v>
      </c>
      <c r="AY111" s="171">
        <f t="shared" si="126"/>
        <v>0</v>
      </c>
      <c r="AZ111" s="176">
        <f t="shared" si="146"/>
        <v>0</v>
      </c>
      <c r="BA111" s="169">
        <f t="shared" si="137"/>
        <v>0</v>
      </c>
      <c r="BB111" s="177">
        <f t="shared" si="128"/>
        <v>0</v>
      </c>
      <c r="BC111" s="176">
        <f t="shared" si="138"/>
        <v>0</v>
      </c>
      <c r="BD111" s="169">
        <f t="shared" si="139"/>
        <v>0</v>
      </c>
      <c r="BE111" s="177">
        <f t="shared" si="129"/>
        <v>0</v>
      </c>
      <c r="BF111" s="176">
        <f t="shared" si="140"/>
        <v>0</v>
      </c>
      <c r="BG111" s="169">
        <f t="shared" si="141"/>
        <v>0</v>
      </c>
      <c r="BH111" s="177">
        <f t="shared" si="130"/>
        <v>0</v>
      </c>
      <c r="BI111" s="176">
        <f t="shared" si="142"/>
        <v>0</v>
      </c>
      <c r="BJ111" s="169">
        <f t="shared" si="143"/>
        <v>0</v>
      </c>
      <c r="BK111" s="177">
        <f t="shared" si="131"/>
        <v>0</v>
      </c>
      <c r="BL111" s="176">
        <f t="shared" si="144"/>
        <v>0</v>
      </c>
      <c r="BM111" s="169">
        <f t="shared" si="145"/>
        <v>0</v>
      </c>
      <c r="BN111" s="177">
        <f t="shared" si="132"/>
        <v>0</v>
      </c>
      <c r="BO111" s="182">
        <f t="shared" si="133"/>
        <v>0</v>
      </c>
      <c r="CL111" s="8" t="str">
        <f t="shared" si="122"/>
        <v>NON</v>
      </c>
    </row>
    <row r="112" spans="1:91" s="8" customFormat="1" ht="13.5" customHeight="1" x14ac:dyDescent="0.2">
      <c r="A112" s="36">
        <f t="shared" si="134"/>
        <v>695483</v>
      </c>
      <c r="B112" s="1" t="str">
        <f>IF($B$111="","",IF(EDATE($B$111,1)&lt;=$D$17,EDATE($B$111,1),""))</f>
        <v/>
      </c>
      <c r="C112" s="88" t="str">
        <f>+IF(B112="","","Mars"&amp;" "&amp;YEAR(B112))</f>
        <v/>
      </c>
      <c r="D112" s="101"/>
      <c r="E112" s="37"/>
      <c r="F112" s="187">
        <f t="shared" si="123"/>
        <v>0</v>
      </c>
      <c r="G112" s="187">
        <f t="shared" si="135"/>
        <v>0</v>
      </c>
      <c r="H112" s="109"/>
      <c r="J112" s="109"/>
      <c r="K112" s="110"/>
      <c r="M112" s="88" t="str">
        <f t="shared" si="121"/>
        <v/>
      </c>
      <c r="N112" s="101"/>
      <c r="P112" s="109"/>
      <c r="AV112" s="167">
        <f t="shared" si="124"/>
        <v>0</v>
      </c>
      <c r="AW112" s="169">
        <f t="shared" si="125"/>
        <v>0</v>
      </c>
      <c r="AX112" s="169">
        <f t="shared" si="136"/>
        <v>0</v>
      </c>
      <c r="AY112" s="171">
        <f t="shared" si="126"/>
        <v>0</v>
      </c>
      <c r="AZ112" s="176">
        <f t="shared" si="146"/>
        <v>0</v>
      </c>
      <c r="BA112" s="169">
        <f t="shared" si="137"/>
        <v>0</v>
      </c>
      <c r="BB112" s="177">
        <f t="shared" si="128"/>
        <v>0</v>
      </c>
      <c r="BC112" s="176">
        <f t="shared" si="138"/>
        <v>0</v>
      </c>
      <c r="BD112" s="169">
        <f t="shared" si="139"/>
        <v>0</v>
      </c>
      <c r="BE112" s="177">
        <f t="shared" si="129"/>
        <v>0</v>
      </c>
      <c r="BF112" s="176">
        <f t="shared" si="140"/>
        <v>0</v>
      </c>
      <c r="BG112" s="169">
        <f t="shared" si="141"/>
        <v>0</v>
      </c>
      <c r="BH112" s="177">
        <f t="shared" si="130"/>
        <v>0</v>
      </c>
      <c r="BI112" s="176">
        <f t="shared" si="142"/>
        <v>0</v>
      </c>
      <c r="BJ112" s="169">
        <f t="shared" si="143"/>
        <v>0</v>
      </c>
      <c r="BK112" s="177">
        <f t="shared" si="131"/>
        <v>0</v>
      </c>
      <c r="BL112" s="176">
        <f t="shared" si="144"/>
        <v>0</v>
      </c>
      <c r="BM112" s="169">
        <f t="shared" si="145"/>
        <v>0</v>
      </c>
      <c r="BN112" s="177">
        <f t="shared" si="132"/>
        <v>0</v>
      </c>
      <c r="BO112" s="182">
        <f t="shared" si="133"/>
        <v>0</v>
      </c>
      <c r="CL112" s="8" t="str">
        <f t="shared" si="122"/>
        <v>NON</v>
      </c>
    </row>
    <row r="113" spans="1:91" s="8" customFormat="1" ht="13.5" customHeight="1" x14ac:dyDescent="0.2">
      <c r="A113" s="36">
        <f t="shared" si="134"/>
        <v>695514</v>
      </c>
      <c r="B113" s="1" t="str">
        <f>IF($B$112="","",IF(EDATE($B$112,1)&lt;=$D$17,EDATE($B$112,1),""))</f>
        <v/>
      </c>
      <c r="C113" s="88" t="str">
        <f>+IF(B113="","","Avril"&amp;" "&amp;YEAR(B113))</f>
        <v/>
      </c>
      <c r="D113" s="101"/>
      <c r="E113" s="37"/>
      <c r="F113" s="187">
        <f t="shared" si="123"/>
        <v>0</v>
      </c>
      <c r="G113" s="187">
        <f t="shared" si="135"/>
        <v>0</v>
      </c>
      <c r="H113" s="109"/>
      <c r="J113" s="109"/>
      <c r="K113" s="110"/>
      <c r="M113" s="88" t="str">
        <f t="shared" si="121"/>
        <v/>
      </c>
      <c r="N113" s="101"/>
      <c r="P113" s="109"/>
      <c r="AV113" s="167">
        <f t="shared" si="124"/>
        <v>0</v>
      </c>
      <c r="AW113" s="169">
        <f t="shared" si="125"/>
        <v>0</v>
      </c>
      <c r="AX113" s="169">
        <f t="shared" si="136"/>
        <v>0</v>
      </c>
      <c r="AY113" s="171">
        <f t="shared" si="126"/>
        <v>0</v>
      </c>
      <c r="AZ113" s="176">
        <f t="shared" si="146"/>
        <v>0</v>
      </c>
      <c r="BA113" s="169">
        <f t="shared" si="137"/>
        <v>0</v>
      </c>
      <c r="BB113" s="177">
        <f t="shared" si="128"/>
        <v>0</v>
      </c>
      <c r="BC113" s="176">
        <f t="shared" si="138"/>
        <v>0</v>
      </c>
      <c r="BD113" s="169">
        <f t="shared" si="139"/>
        <v>0</v>
      </c>
      <c r="BE113" s="177">
        <f t="shared" si="129"/>
        <v>0</v>
      </c>
      <c r="BF113" s="176">
        <f t="shared" si="140"/>
        <v>0</v>
      </c>
      <c r="BG113" s="169">
        <f t="shared" si="141"/>
        <v>0</v>
      </c>
      <c r="BH113" s="177">
        <f t="shared" si="130"/>
        <v>0</v>
      </c>
      <c r="BI113" s="176">
        <f t="shared" si="142"/>
        <v>0</v>
      </c>
      <c r="BJ113" s="169">
        <f t="shared" si="143"/>
        <v>0</v>
      </c>
      <c r="BK113" s="177">
        <f t="shared" si="131"/>
        <v>0</v>
      </c>
      <c r="BL113" s="176">
        <f t="shared" si="144"/>
        <v>0</v>
      </c>
      <c r="BM113" s="169">
        <f t="shared" si="145"/>
        <v>0</v>
      </c>
      <c r="BN113" s="177">
        <f t="shared" si="132"/>
        <v>0</v>
      </c>
      <c r="BO113" s="182">
        <f t="shared" si="133"/>
        <v>0</v>
      </c>
      <c r="CL113" s="8" t="str">
        <f t="shared" si="122"/>
        <v>NON</v>
      </c>
    </row>
    <row r="114" spans="1:91" s="8" customFormat="1" ht="13.5" customHeight="1" x14ac:dyDescent="0.2">
      <c r="A114" s="36">
        <f t="shared" si="134"/>
        <v>695544</v>
      </c>
      <c r="B114" s="1" t="str">
        <f>IF($B$113="","",IF(EDATE($B$113,1)&lt;=$D$17,EDATE($B$113,1),""))</f>
        <v/>
      </c>
      <c r="C114" s="88" t="str">
        <f>+IF(B114="","","Mai"&amp;" "&amp;YEAR(B114))</f>
        <v/>
      </c>
      <c r="D114" s="101"/>
      <c r="E114" s="37"/>
      <c r="F114" s="187">
        <f t="shared" si="123"/>
        <v>0</v>
      </c>
      <c r="G114" s="187">
        <f t="shared" si="135"/>
        <v>0</v>
      </c>
      <c r="H114" s="109"/>
      <c r="J114" s="109"/>
      <c r="K114" s="110"/>
      <c r="M114" s="88" t="str">
        <f t="shared" si="121"/>
        <v/>
      </c>
      <c r="N114" s="101"/>
      <c r="P114" s="109"/>
      <c r="AV114" s="168">
        <f t="shared" si="124"/>
        <v>0</v>
      </c>
      <c r="AW114" s="170">
        <f t="shared" si="125"/>
        <v>0</v>
      </c>
      <c r="AX114" s="170">
        <f t="shared" si="136"/>
        <v>0</v>
      </c>
      <c r="AY114" s="172">
        <f t="shared" si="126"/>
        <v>0</v>
      </c>
      <c r="AZ114" s="178">
        <f t="shared" si="146"/>
        <v>0</v>
      </c>
      <c r="BA114" s="170">
        <f t="shared" si="137"/>
        <v>0</v>
      </c>
      <c r="BB114" s="179">
        <f t="shared" si="128"/>
        <v>0</v>
      </c>
      <c r="BC114" s="178">
        <f t="shared" si="138"/>
        <v>0</v>
      </c>
      <c r="BD114" s="170">
        <f t="shared" si="139"/>
        <v>0</v>
      </c>
      <c r="BE114" s="179">
        <f t="shared" si="129"/>
        <v>0</v>
      </c>
      <c r="BF114" s="178">
        <f t="shared" si="140"/>
        <v>0</v>
      </c>
      <c r="BG114" s="170">
        <f t="shared" si="141"/>
        <v>0</v>
      </c>
      <c r="BH114" s="179">
        <f t="shared" si="130"/>
        <v>0</v>
      </c>
      <c r="BI114" s="178">
        <f t="shared" si="142"/>
        <v>0</v>
      </c>
      <c r="BJ114" s="170">
        <f t="shared" si="143"/>
        <v>0</v>
      </c>
      <c r="BK114" s="179">
        <f t="shared" si="131"/>
        <v>0</v>
      </c>
      <c r="BL114" s="178">
        <f t="shared" si="144"/>
        <v>0</v>
      </c>
      <c r="BM114" s="170">
        <f t="shared" si="145"/>
        <v>0</v>
      </c>
      <c r="BN114" s="179">
        <f t="shared" si="132"/>
        <v>0</v>
      </c>
      <c r="BO114" s="183">
        <f t="shared" si="133"/>
        <v>0</v>
      </c>
      <c r="CL114" s="8" t="str">
        <f t="shared" si="122"/>
        <v>NON</v>
      </c>
      <c r="CM114" s="8" t="s">
        <v>81</v>
      </c>
    </row>
    <row r="115" spans="1:91" s="8" customFormat="1" ht="13.5" customHeight="1" x14ac:dyDescent="0.2">
      <c r="A115" s="4"/>
      <c r="B115" s="6"/>
      <c r="C115" s="38" t="s">
        <v>82</v>
      </c>
      <c r="D115" s="39">
        <f>+N117</f>
        <v>0</v>
      </c>
      <c r="F115" s="125"/>
      <c r="G115" s="125"/>
      <c r="J115" s="40">
        <f>+P117</f>
        <v>0</v>
      </c>
      <c r="BO115" s="166"/>
    </row>
    <row r="116" spans="1:91" s="8" customFormat="1" ht="12.75" x14ac:dyDescent="0.2">
      <c r="A116" s="4"/>
      <c r="B116" s="6"/>
      <c r="C116" s="41" t="s">
        <v>83</v>
      </c>
      <c r="D116" s="42"/>
      <c r="E116" s="43"/>
      <c r="F116" s="125"/>
      <c r="G116" s="125"/>
      <c r="J116" s="116"/>
      <c r="K116" s="134"/>
      <c r="AY116" s="173">
        <f>SUM(AY103:AY114)</f>
        <v>0</v>
      </c>
      <c r="BB116" s="173">
        <f>SUM(BB103:BB114)</f>
        <v>0</v>
      </c>
      <c r="BE116" s="173">
        <f>SUM(BE103:BE114)</f>
        <v>0</v>
      </c>
      <c r="BH116" s="173">
        <f>SUM(BH103:BH114)</f>
        <v>0</v>
      </c>
      <c r="BK116" s="173">
        <f>SUM(BK103:BK114)</f>
        <v>0</v>
      </c>
      <c r="BN116" s="173">
        <f>SUM(BN103:BN114)</f>
        <v>0</v>
      </c>
      <c r="BO116" s="184">
        <f>SUM(BO103:BO115)</f>
        <v>0</v>
      </c>
      <c r="CM116" s="8" t="str">
        <f>+IF(C121="","NON","OUI")</f>
        <v>NON</v>
      </c>
    </row>
    <row r="117" spans="1:91" s="8" customFormat="1" ht="40.5" customHeight="1" x14ac:dyDescent="0.2">
      <c r="A117" s="36"/>
      <c r="B117" s="1"/>
      <c r="C117" s="157" t="s">
        <v>84</v>
      </c>
      <c r="D117" s="155">
        <f>MIN(ROUNDUP(SUM(D103:D116),0),30)</f>
        <v>0</v>
      </c>
      <c r="E117" s="165">
        <f>SUM(E103:E114)</f>
        <v>0</v>
      </c>
      <c r="F117" s="204" t="str">
        <f>+IF($E$139&gt;$D$139,"TROP DE JOURS pris par rapport aux jours acquis ou aux jours en cours d'acquisition","")</f>
        <v/>
      </c>
      <c r="G117" s="205"/>
      <c r="H117" s="205"/>
      <c r="J117" s="135">
        <f>SUM(J103:J116)</f>
        <v>0</v>
      </c>
      <c r="K117" s="118" t="e">
        <f>"Valeur d'un jour ouvrable de CP en 10% = "&amp;ROUND(J117,2)&amp;" € / "&amp;ROUNDUP(SUM(D103:D114),0)&amp;" jrs X 0,10 = "&amp;ROUND(J117/(ROUNDUP(SUM(D103:D114),0))*0.1,2)&amp;" €"</f>
        <v>#DIV/0!</v>
      </c>
      <c r="N117" s="39">
        <f>SUM(N103:N114)</f>
        <v>0</v>
      </c>
      <c r="P117" s="48">
        <f>SUM(P103:P114)</f>
        <v>0</v>
      </c>
    </row>
    <row r="118" spans="1:91" s="8" customFormat="1" ht="30.75" hidden="1" customHeight="1" thickBot="1" x14ac:dyDescent="0.25">
      <c r="A118" s="36"/>
      <c r="B118" s="1"/>
      <c r="C118" s="156" t="s">
        <v>85</v>
      </c>
      <c r="D118" s="153">
        <f>+D100+D117</f>
        <v>0</v>
      </c>
      <c r="E118" s="154">
        <f>+E117+E100</f>
        <v>0</v>
      </c>
      <c r="J118" s="52">
        <f>+J100+J117</f>
        <v>0</v>
      </c>
      <c r="K118" s="114"/>
      <c r="L118" s="9"/>
    </row>
    <row r="119" spans="1:91" s="8" customFormat="1" ht="53.25" customHeight="1" x14ac:dyDescent="0.2">
      <c r="A119" s="36"/>
      <c r="B119" s="1"/>
      <c r="C119" s="58"/>
      <c r="D119" s="59"/>
      <c r="E119" s="60"/>
      <c r="J119" s="61"/>
      <c r="K119" s="114"/>
      <c r="L119" s="2"/>
      <c r="AW119" s="206" t="str">
        <f>+AW101</f>
        <v>Période : 
Janvier 1900 à Mai 1905</v>
      </c>
      <c r="AX119" s="206"/>
      <c r="AY119" s="206"/>
      <c r="AZ119" s="206" t="e">
        <f>+AZ101</f>
        <v>#VALUE!</v>
      </c>
      <c r="BA119" s="206"/>
      <c r="BB119" s="206"/>
      <c r="BC119" s="206" t="e">
        <f t="shared" ref="BC119" si="147">+BC101</f>
        <v>#VALUE!</v>
      </c>
      <c r="BD119" s="206"/>
      <c r="BE119" s="206"/>
      <c r="BF119" s="206" t="e">
        <f t="shared" ref="BF119" si="148">+BF101</f>
        <v>#VALUE!</v>
      </c>
      <c r="BG119" s="206"/>
      <c r="BH119" s="206"/>
      <c r="BI119" s="206" t="e">
        <f t="shared" ref="BI119" si="149">+BI101</f>
        <v>#VALUE!</v>
      </c>
      <c r="BJ119" s="206"/>
      <c r="BK119" s="206"/>
      <c r="BL119" s="206" t="e">
        <f t="shared" ref="BL119" si="150">+BL101</f>
        <v>#VALUE!</v>
      </c>
      <c r="BM119" s="206"/>
      <c r="BN119" s="206"/>
    </row>
    <row r="120" spans="1:91" s="8" customFormat="1" ht="63.75" x14ac:dyDescent="0.2">
      <c r="A120" s="4"/>
      <c r="B120" s="6"/>
      <c r="C120" s="27" t="e">
        <f>"Période de : "&amp;CHAR(10)&amp;PROPER(+TEXT(B121,"mmmm"))&amp;" "&amp;YEAR(B121)&amp;" à "&amp;IF(D17&gt;=B132,C132,PROPER(+TEXT(D17,"mmmm"))&amp;" "&amp;YEAR(D17))</f>
        <v>#VALUE!</v>
      </c>
      <c r="D120" s="27" t="str">
        <f>+D102</f>
        <v>Jours acquis dans l'année</v>
      </c>
      <c r="E120" s="28" t="s">
        <v>87</v>
      </c>
      <c r="F120" s="28" t="s">
        <v>103</v>
      </c>
      <c r="G120" s="27" t="s">
        <v>94</v>
      </c>
      <c r="H120" s="27" t="s">
        <v>90</v>
      </c>
      <c r="I120" s="105"/>
      <c r="J120" s="27" t="str">
        <f>+J102</f>
        <v>Salaires bruts de l'année (hors indemnités)</v>
      </c>
      <c r="K120" s="27" t="s">
        <v>74</v>
      </c>
      <c r="M120" s="98" t="str">
        <f>+M102</f>
        <v>Mois</v>
      </c>
      <c r="N120" s="98" t="str">
        <f>+N102</f>
        <v>Jrs acquis en arrêt de maladie (2 jrs par mois)</v>
      </c>
      <c r="P120" s="98" t="str">
        <f>+P102</f>
        <v>80% des Salaires bruts correspondants à l'arrêt de maladie</v>
      </c>
      <c r="AV120" s="27" t="s">
        <v>101</v>
      </c>
      <c r="AW120" s="27" t="s">
        <v>87</v>
      </c>
      <c r="AX120" s="27" t="s">
        <v>104</v>
      </c>
      <c r="AY120" s="27" t="s">
        <v>102</v>
      </c>
      <c r="AZ120" s="164" t="s">
        <v>87</v>
      </c>
      <c r="BA120" s="27" t="s">
        <v>104</v>
      </c>
      <c r="BB120" s="27" t="s">
        <v>102</v>
      </c>
      <c r="BC120" s="27" t="s">
        <v>87</v>
      </c>
      <c r="BD120" s="27" t="s">
        <v>104</v>
      </c>
      <c r="BE120" s="27" t="s">
        <v>102</v>
      </c>
      <c r="BF120" s="27" t="s">
        <v>87</v>
      </c>
      <c r="BG120" s="27" t="s">
        <v>104</v>
      </c>
      <c r="BH120" s="27" t="s">
        <v>102</v>
      </c>
      <c r="BI120" s="27" t="s">
        <v>87</v>
      </c>
      <c r="BJ120" s="27" t="s">
        <v>104</v>
      </c>
      <c r="BK120" s="27" t="s">
        <v>102</v>
      </c>
      <c r="BL120" s="27" t="s">
        <v>87</v>
      </c>
      <c r="BM120" s="27" t="s">
        <v>104</v>
      </c>
      <c r="BN120" s="27" t="s">
        <v>102</v>
      </c>
      <c r="BO120" s="27" t="s">
        <v>105</v>
      </c>
      <c r="CL120" s="108" t="s">
        <v>77</v>
      </c>
    </row>
    <row r="121" spans="1:91" s="8" customFormat="1" ht="13.5" customHeight="1" x14ac:dyDescent="0.2">
      <c r="A121" s="36">
        <f>EDATE(A114,1)</f>
        <v>695575</v>
      </c>
      <c r="B121" s="1" t="str">
        <f>IF($B$114="","",IF(EDATE($B$114,1)&lt;=$D$17,EDATE($B$114,1),""))</f>
        <v/>
      </c>
      <c r="C121" s="88" t="str">
        <f>+IF(B121="","","Juin"&amp;" "&amp;YEAR(B121))</f>
        <v/>
      </c>
      <c r="D121" s="101"/>
      <c r="E121" s="37"/>
      <c r="F121" s="187">
        <f>IF(E121&gt;=0.1,G121/26,0)</f>
        <v>0</v>
      </c>
      <c r="G121" s="187">
        <f>+IF(H121="",G114,H121)</f>
        <v>0</v>
      </c>
      <c r="H121" s="109"/>
      <c r="J121" s="109"/>
      <c r="K121" s="110"/>
      <c r="M121" s="88" t="str">
        <f t="shared" ref="M121:M132" si="151">+C121</f>
        <v/>
      </c>
      <c r="N121" s="101"/>
      <c r="P121" s="109"/>
      <c r="AV121" s="185">
        <f>IF(E121&gt;=0.1,G121/26,0)</f>
        <v>0</v>
      </c>
      <c r="AW121" s="169">
        <f>IF($E121&gt;=0.1,+MIN($E121,$D$45-$AX114),0)</f>
        <v>0</v>
      </c>
      <c r="AX121" s="169">
        <f>+AW121+AX114</f>
        <v>0</v>
      </c>
      <c r="AY121" s="171">
        <f>+AW121*$AV121</f>
        <v>0</v>
      </c>
      <c r="AZ121" s="176">
        <f>IF($E121&gt;=0.1,MIN($E121-$AW121,$D$63-$BA114),0)</f>
        <v>0</v>
      </c>
      <c r="BA121" s="169">
        <f>+AZ121+BA114</f>
        <v>0</v>
      </c>
      <c r="BB121" s="175">
        <f>+AZ121*$AV121</f>
        <v>0</v>
      </c>
      <c r="BC121" s="176">
        <f>IF($E121&gt;=0.1,MIN($E121-$AW121-$AZ121,$D$81-$BD114),0)</f>
        <v>0</v>
      </c>
      <c r="BD121" s="169">
        <f>+BC121+BD114</f>
        <v>0</v>
      </c>
      <c r="BE121" s="175">
        <f>+BC121*$AV121</f>
        <v>0</v>
      </c>
      <c r="BF121" s="176">
        <f>IF($E121&gt;=0.1,MIN($E121-$AW121-$AZ121-$BC121,$D$99-$BG114),0)</f>
        <v>0</v>
      </c>
      <c r="BG121" s="169">
        <f>+BF121+BG114</f>
        <v>0</v>
      </c>
      <c r="BH121" s="175">
        <f>+BF121*$AV121</f>
        <v>0</v>
      </c>
      <c r="BI121" s="176">
        <f>IF($E121&gt;=0.1,MIN($E121-$AW121-$AZ121-$BC121-$BF121,$D$117-$BJ114),0)</f>
        <v>0</v>
      </c>
      <c r="BJ121" s="169">
        <f>+BI121+BJ114</f>
        <v>0</v>
      </c>
      <c r="BK121" s="175">
        <f>+BI121*$AV121</f>
        <v>0</v>
      </c>
      <c r="BL121" s="176">
        <f>IF($E121&gt;=0.1,MIN($E121-$AW121-$AZ121-$BC121-$BF121-$BI121,$D$136-$BM114),0)</f>
        <v>0</v>
      </c>
      <c r="BM121" s="169">
        <f>+BL121+BM114</f>
        <v>0</v>
      </c>
      <c r="BN121" s="175">
        <f>+BL121*$AV121</f>
        <v>0</v>
      </c>
      <c r="BO121" s="181">
        <f>+BL121+BI121+BF121+BC121+AZ121+AW121</f>
        <v>0</v>
      </c>
      <c r="CL121" s="8" t="str">
        <f t="shared" ref="CL121:CL132" si="152">IF(B121="","NON",+IF(AND(DATE(YEAR(B121),MONTH(B121),1)&gt;=DATE(YEAR($D$15),MONTH($D$15),1),DATE(YEAR(B121),MONTH(B121),1)&lt;=DATE(YEAR($D$17),MONTH($D$17),1)),"OUI","NON"))</f>
        <v>NON</v>
      </c>
    </row>
    <row r="122" spans="1:91" s="8" customFormat="1" ht="13.5" customHeight="1" x14ac:dyDescent="0.2">
      <c r="A122" s="36">
        <f>EDATE(A121,1)</f>
        <v>695605</v>
      </c>
      <c r="B122" s="1" t="str">
        <f>IF($B$121="","",IF(EDATE($B$121,1)&lt;=$D$17,EDATE($B$121,1),""))</f>
        <v/>
      </c>
      <c r="C122" s="88" t="str">
        <f>+IF(B122="","","Juillet"&amp;" "&amp;YEAR(B122))</f>
        <v/>
      </c>
      <c r="D122" s="101"/>
      <c r="E122" s="37"/>
      <c r="F122" s="187">
        <f t="shared" ref="F122:F132" si="153">IF(E122&gt;=0.1,G122/26,0)</f>
        <v>0</v>
      </c>
      <c r="G122" s="187">
        <f>+IF(H122="",G121,H122)</f>
        <v>0</v>
      </c>
      <c r="H122" s="109"/>
      <c r="J122" s="109"/>
      <c r="K122" s="110"/>
      <c r="M122" s="88" t="str">
        <f t="shared" si="151"/>
        <v/>
      </c>
      <c r="N122" s="101"/>
      <c r="P122" s="109"/>
      <c r="AV122" s="167">
        <f t="shared" ref="AV122:AV132" si="154">IF(E122&gt;=0.1,G122/26,0)</f>
        <v>0</v>
      </c>
      <c r="AW122" s="169">
        <f t="shared" ref="AW122:AW132" si="155">IF($E122&gt;=0.1,+MIN($E122,$D$45-$AX121),0)</f>
        <v>0</v>
      </c>
      <c r="AX122" s="169">
        <f>+AX121+AW122</f>
        <v>0</v>
      </c>
      <c r="AY122" s="171">
        <f t="shared" ref="AY122:AY132" si="156">+AW122*$AV122</f>
        <v>0</v>
      </c>
      <c r="AZ122" s="176">
        <f t="shared" ref="AZ122:AZ126" si="157">IF($E122&gt;=0.1,MIN($E122-$AW122,$D$63-$BA121),0)</f>
        <v>0</v>
      </c>
      <c r="BA122" s="169">
        <f>+BA121+AZ122</f>
        <v>0</v>
      </c>
      <c r="BB122" s="177">
        <f t="shared" ref="BB122:BB132" si="158">+AZ122*$AV122</f>
        <v>0</v>
      </c>
      <c r="BC122" s="176">
        <f>IF($E122&gt;=0.1,MIN($E122-$AW122-$AZ122,$D$81-$BD121),0)</f>
        <v>0</v>
      </c>
      <c r="BD122" s="169">
        <f>+BD121+BC122</f>
        <v>0</v>
      </c>
      <c r="BE122" s="177">
        <f t="shared" ref="BE122:BE132" si="159">+BC122*$AV122</f>
        <v>0</v>
      </c>
      <c r="BF122" s="176">
        <f>IF($E122&gt;=0.1,MIN($E122-$AW122-$AZ122-$BC122,$D$99-$BG121),0)</f>
        <v>0</v>
      </c>
      <c r="BG122" s="169">
        <f>+BG121+BF122</f>
        <v>0</v>
      </c>
      <c r="BH122" s="177">
        <f t="shared" ref="BH122:BH132" si="160">+BF122*$AV122</f>
        <v>0</v>
      </c>
      <c r="BI122" s="176">
        <f>IF($E122&gt;=0.1,MIN($E122-$AW122-$AZ122-$BC122-$BF122,$D$117-$BJ121),0)</f>
        <v>0</v>
      </c>
      <c r="BJ122" s="169">
        <f>+BJ121+BI122</f>
        <v>0</v>
      </c>
      <c r="BK122" s="177">
        <f t="shared" ref="BK122:BK132" si="161">+BI122*$AV122</f>
        <v>0</v>
      </c>
      <c r="BL122" s="176">
        <f>IF($E122&gt;=0.1,MIN($E122-$AW122-$AZ122-$BC122-$BF122-$BI122,$D$136-$BM121),0)</f>
        <v>0</v>
      </c>
      <c r="BM122" s="169">
        <f>+BM121+BL122</f>
        <v>0</v>
      </c>
      <c r="BN122" s="177">
        <f t="shared" ref="BN122:BN132" si="162">+BL122*$AV122</f>
        <v>0</v>
      </c>
      <c r="BO122" s="182">
        <f t="shared" ref="BO122:BO132" si="163">+BL122+BI122+BF122+BC122+AZ122+AW122</f>
        <v>0</v>
      </c>
      <c r="CL122" s="8" t="str">
        <f t="shared" si="152"/>
        <v>NON</v>
      </c>
    </row>
    <row r="123" spans="1:91" s="8" customFormat="1" ht="13.5" customHeight="1" x14ac:dyDescent="0.2">
      <c r="A123" s="36">
        <f t="shared" ref="A123:A132" si="164">EDATE(A122,1)</f>
        <v>695636</v>
      </c>
      <c r="B123" s="1" t="str">
        <f>IF($B$122="","",IF(EDATE($B$122,1)&lt;=$D$17,EDATE($B$122,1),""))</f>
        <v/>
      </c>
      <c r="C123" s="88" t="str">
        <f>+IF(B123="","","Aout"&amp;" "&amp;YEAR(B123))</f>
        <v/>
      </c>
      <c r="D123" s="101"/>
      <c r="E123" s="37"/>
      <c r="F123" s="187">
        <f t="shared" si="153"/>
        <v>0</v>
      </c>
      <c r="G123" s="187">
        <f t="shared" ref="G123:G132" si="165">+IF(H123="",G122,H123)</f>
        <v>0</v>
      </c>
      <c r="H123" s="109"/>
      <c r="J123" s="109"/>
      <c r="K123" s="110"/>
      <c r="M123" s="88" t="str">
        <f t="shared" si="151"/>
        <v/>
      </c>
      <c r="N123" s="101"/>
      <c r="P123" s="109"/>
      <c r="AV123" s="167">
        <f t="shared" si="154"/>
        <v>0</v>
      </c>
      <c r="AW123" s="169">
        <f t="shared" si="155"/>
        <v>0</v>
      </c>
      <c r="AX123" s="169">
        <f t="shared" ref="AX123:AX132" si="166">+AX122+AW123</f>
        <v>0</v>
      </c>
      <c r="AY123" s="171">
        <f t="shared" si="156"/>
        <v>0</v>
      </c>
      <c r="AZ123" s="176">
        <f t="shared" si="157"/>
        <v>0</v>
      </c>
      <c r="BA123" s="169">
        <f t="shared" ref="BA123:BA132" si="167">+BA122+AZ123</f>
        <v>0</v>
      </c>
      <c r="BB123" s="177">
        <f t="shared" si="158"/>
        <v>0</v>
      </c>
      <c r="BC123" s="176">
        <f t="shared" ref="BC123:BC132" si="168">IF($E123&gt;=0.1,MIN($E123-$AW123-$AZ123,$D$81-$BD122),0)</f>
        <v>0</v>
      </c>
      <c r="BD123" s="169">
        <f t="shared" ref="BD123:BD132" si="169">+BD122+BC123</f>
        <v>0</v>
      </c>
      <c r="BE123" s="177">
        <f t="shared" si="159"/>
        <v>0</v>
      </c>
      <c r="BF123" s="176">
        <f t="shared" ref="BF123:BF132" si="170">IF($E123&gt;=0.1,MIN($E123-$AW123-$AZ123-$BC123,$D$99-$BG122),0)</f>
        <v>0</v>
      </c>
      <c r="BG123" s="169">
        <f t="shared" ref="BG123:BG132" si="171">+BG122+BF123</f>
        <v>0</v>
      </c>
      <c r="BH123" s="177">
        <f t="shared" si="160"/>
        <v>0</v>
      </c>
      <c r="BI123" s="176">
        <f t="shared" ref="BI123:BI132" si="172">IF($E123&gt;=0.1,MIN($E123-$AW123-$AZ123-$BC123-$BF123,$D$117-$BJ122),0)</f>
        <v>0</v>
      </c>
      <c r="BJ123" s="169">
        <f t="shared" ref="BJ123:BJ132" si="173">+BJ122+BI123</f>
        <v>0</v>
      </c>
      <c r="BK123" s="177">
        <f t="shared" si="161"/>
        <v>0</v>
      </c>
      <c r="BL123" s="176">
        <f t="shared" ref="BL123:BL132" si="174">IF($E123&gt;=0.1,MIN($E123-$AW123-$AZ123-$BC123-$BF123-$BI123,$D$136-$BM122),0)</f>
        <v>0</v>
      </c>
      <c r="BM123" s="169">
        <f t="shared" ref="BM123:BM132" si="175">+BM122+BL123</f>
        <v>0</v>
      </c>
      <c r="BN123" s="177">
        <f t="shared" si="162"/>
        <v>0</v>
      </c>
      <c r="BO123" s="182">
        <f t="shared" si="163"/>
        <v>0</v>
      </c>
      <c r="CL123" s="8" t="str">
        <f t="shared" si="152"/>
        <v>NON</v>
      </c>
    </row>
    <row r="124" spans="1:91" s="8" customFormat="1" ht="13.5" customHeight="1" x14ac:dyDescent="0.2">
      <c r="A124" s="36">
        <f t="shared" si="164"/>
        <v>695667</v>
      </c>
      <c r="B124" s="1" t="str">
        <f>IF($B$123="","",IF(EDATE($B$123,1)&lt;=$D$17,EDATE($B$123,1),""))</f>
        <v/>
      </c>
      <c r="C124" s="88" t="str">
        <f>+IF(B124="","","Septembre"&amp;" "&amp;YEAR(B124))</f>
        <v/>
      </c>
      <c r="D124" s="101"/>
      <c r="E124" s="37"/>
      <c r="F124" s="187">
        <f t="shared" si="153"/>
        <v>0</v>
      </c>
      <c r="G124" s="187">
        <f t="shared" si="165"/>
        <v>0</v>
      </c>
      <c r="H124" s="109"/>
      <c r="J124" s="109"/>
      <c r="K124" s="110"/>
      <c r="M124" s="88" t="str">
        <f t="shared" si="151"/>
        <v/>
      </c>
      <c r="N124" s="101"/>
      <c r="P124" s="109"/>
      <c r="AV124" s="167">
        <f t="shared" si="154"/>
        <v>0</v>
      </c>
      <c r="AW124" s="169">
        <f t="shared" si="155"/>
        <v>0</v>
      </c>
      <c r="AX124" s="169">
        <f t="shared" si="166"/>
        <v>0</v>
      </c>
      <c r="AY124" s="171">
        <f t="shared" si="156"/>
        <v>0</v>
      </c>
      <c r="AZ124" s="176">
        <f t="shared" si="157"/>
        <v>0</v>
      </c>
      <c r="BA124" s="169">
        <f t="shared" si="167"/>
        <v>0</v>
      </c>
      <c r="BB124" s="177">
        <f t="shared" si="158"/>
        <v>0</v>
      </c>
      <c r="BC124" s="176">
        <f t="shared" si="168"/>
        <v>0</v>
      </c>
      <c r="BD124" s="169">
        <f t="shared" si="169"/>
        <v>0</v>
      </c>
      <c r="BE124" s="177">
        <f t="shared" si="159"/>
        <v>0</v>
      </c>
      <c r="BF124" s="176">
        <f t="shared" si="170"/>
        <v>0</v>
      </c>
      <c r="BG124" s="169">
        <f t="shared" si="171"/>
        <v>0</v>
      </c>
      <c r="BH124" s="177">
        <f t="shared" si="160"/>
        <v>0</v>
      </c>
      <c r="BI124" s="176">
        <f t="shared" si="172"/>
        <v>0</v>
      </c>
      <c r="BJ124" s="169">
        <f t="shared" si="173"/>
        <v>0</v>
      </c>
      <c r="BK124" s="177">
        <f t="shared" si="161"/>
        <v>0</v>
      </c>
      <c r="BL124" s="176">
        <f t="shared" si="174"/>
        <v>0</v>
      </c>
      <c r="BM124" s="169">
        <f t="shared" si="175"/>
        <v>0</v>
      </c>
      <c r="BN124" s="177">
        <f t="shared" si="162"/>
        <v>0</v>
      </c>
      <c r="BO124" s="182">
        <f t="shared" si="163"/>
        <v>0</v>
      </c>
      <c r="CL124" s="8" t="str">
        <f t="shared" si="152"/>
        <v>NON</v>
      </c>
    </row>
    <row r="125" spans="1:91" s="8" customFormat="1" ht="13.5" customHeight="1" x14ac:dyDescent="0.2">
      <c r="A125" s="36">
        <f t="shared" si="164"/>
        <v>695697</v>
      </c>
      <c r="B125" s="1" t="str">
        <f>IF($B$124="","",IF(EDATE($B$124,1)&lt;=$D$17,EDATE($B$124,1),""))</f>
        <v/>
      </c>
      <c r="C125" s="88" t="str">
        <f>+IF(B125="","","Octobre"&amp;" "&amp;YEAR(B125))</f>
        <v/>
      </c>
      <c r="D125" s="101"/>
      <c r="E125" s="37"/>
      <c r="F125" s="187">
        <f t="shared" si="153"/>
        <v>0</v>
      </c>
      <c r="G125" s="187">
        <f t="shared" si="165"/>
        <v>0</v>
      </c>
      <c r="H125" s="109"/>
      <c r="J125" s="109"/>
      <c r="K125" s="110"/>
      <c r="M125" s="88" t="str">
        <f t="shared" si="151"/>
        <v/>
      </c>
      <c r="N125" s="101"/>
      <c r="P125" s="109"/>
      <c r="AV125" s="167">
        <f t="shared" si="154"/>
        <v>0</v>
      </c>
      <c r="AW125" s="169">
        <f t="shared" si="155"/>
        <v>0</v>
      </c>
      <c r="AX125" s="169">
        <f t="shared" si="166"/>
        <v>0</v>
      </c>
      <c r="AY125" s="171">
        <f t="shared" si="156"/>
        <v>0</v>
      </c>
      <c r="AZ125" s="176">
        <f t="shared" si="157"/>
        <v>0</v>
      </c>
      <c r="BA125" s="169">
        <f t="shared" si="167"/>
        <v>0</v>
      </c>
      <c r="BB125" s="177">
        <f t="shared" si="158"/>
        <v>0</v>
      </c>
      <c r="BC125" s="176">
        <f t="shared" si="168"/>
        <v>0</v>
      </c>
      <c r="BD125" s="169">
        <f t="shared" si="169"/>
        <v>0</v>
      </c>
      <c r="BE125" s="177">
        <f t="shared" si="159"/>
        <v>0</v>
      </c>
      <c r="BF125" s="176">
        <f t="shared" si="170"/>
        <v>0</v>
      </c>
      <c r="BG125" s="169">
        <f t="shared" si="171"/>
        <v>0</v>
      </c>
      <c r="BH125" s="177">
        <f t="shared" si="160"/>
        <v>0</v>
      </c>
      <c r="BI125" s="176">
        <f t="shared" si="172"/>
        <v>0</v>
      </c>
      <c r="BJ125" s="169">
        <f t="shared" si="173"/>
        <v>0</v>
      </c>
      <c r="BK125" s="177">
        <f t="shared" si="161"/>
        <v>0</v>
      </c>
      <c r="BL125" s="176">
        <f t="shared" si="174"/>
        <v>0</v>
      </c>
      <c r="BM125" s="169">
        <f t="shared" si="175"/>
        <v>0</v>
      </c>
      <c r="BN125" s="177">
        <f t="shared" si="162"/>
        <v>0</v>
      </c>
      <c r="BO125" s="182">
        <f t="shared" si="163"/>
        <v>0</v>
      </c>
      <c r="CL125" s="8" t="str">
        <f t="shared" si="152"/>
        <v>NON</v>
      </c>
    </row>
    <row r="126" spans="1:91" s="8" customFormat="1" ht="13.5" customHeight="1" x14ac:dyDescent="0.2">
      <c r="A126" s="36">
        <f t="shared" si="164"/>
        <v>695728</v>
      </c>
      <c r="B126" s="1" t="str">
        <f>IF($B$125="","",IF(EDATE($B$125,1)&lt;=$D$17,EDATE($B$125,1),""))</f>
        <v/>
      </c>
      <c r="C126" s="88" t="str">
        <f>+IF(B126="","","Novembre"&amp;" "&amp;YEAR(B126))</f>
        <v/>
      </c>
      <c r="D126" s="101"/>
      <c r="E126" s="37"/>
      <c r="F126" s="187">
        <f t="shared" si="153"/>
        <v>0</v>
      </c>
      <c r="G126" s="187">
        <f t="shared" si="165"/>
        <v>0</v>
      </c>
      <c r="H126" s="109"/>
      <c r="J126" s="109"/>
      <c r="K126" s="110"/>
      <c r="M126" s="88" t="str">
        <f t="shared" si="151"/>
        <v/>
      </c>
      <c r="N126" s="101"/>
      <c r="P126" s="109"/>
      <c r="AV126" s="167">
        <f t="shared" si="154"/>
        <v>0</v>
      </c>
      <c r="AW126" s="169">
        <f t="shared" si="155"/>
        <v>0</v>
      </c>
      <c r="AX126" s="169">
        <f t="shared" si="166"/>
        <v>0</v>
      </c>
      <c r="AY126" s="171">
        <f t="shared" si="156"/>
        <v>0</v>
      </c>
      <c r="AZ126" s="176">
        <f t="shared" si="157"/>
        <v>0</v>
      </c>
      <c r="BA126" s="169">
        <f t="shared" si="167"/>
        <v>0</v>
      </c>
      <c r="BB126" s="177">
        <f t="shared" si="158"/>
        <v>0</v>
      </c>
      <c r="BC126" s="176">
        <f t="shared" si="168"/>
        <v>0</v>
      </c>
      <c r="BD126" s="169">
        <f t="shared" si="169"/>
        <v>0</v>
      </c>
      <c r="BE126" s="177">
        <f t="shared" si="159"/>
        <v>0</v>
      </c>
      <c r="BF126" s="176">
        <f t="shared" si="170"/>
        <v>0</v>
      </c>
      <c r="BG126" s="169">
        <f t="shared" si="171"/>
        <v>0</v>
      </c>
      <c r="BH126" s="177">
        <f t="shared" si="160"/>
        <v>0</v>
      </c>
      <c r="BI126" s="176">
        <f t="shared" si="172"/>
        <v>0</v>
      </c>
      <c r="BJ126" s="169">
        <f t="shared" si="173"/>
        <v>0</v>
      </c>
      <c r="BK126" s="177">
        <f t="shared" si="161"/>
        <v>0</v>
      </c>
      <c r="BL126" s="176">
        <f t="shared" si="174"/>
        <v>0</v>
      </c>
      <c r="BM126" s="169">
        <f t="shared" si="175"/>
        <v>0</v>
      </c>
      <c r="BN126" s="177">
        <f t="shared" si="162"/>
        <v>0</v>
      </c>
      <c r="BO126" s="182">
        <f t="shared" si="163"/>
        <v>0</v>
      </c>
      <c r="CL126" s="8" t="str">
        <f t="shared" si="152"/>
        <v>NON</v>
      </c>
    </row>
    <row r="127" spans="1:91" s="8" customFormat="1" ht="13.5" customHeight="1" x14ac:dyDescent="0.2">
      <c r="A127" s="36">
        <f t="shared" si="164"/>
        <v>695758</v>
      </c>
      <c r="B127" s="1" t="str">
        <f>IF($B$126="","",IF(EDATE($B$126,1)&lt;=$D$17,EDATE($B$126,1),""))</f>
        <v/>
      </c>
      <c r="C127" s="88" t="str">
        <f>+IF(B127="","","Décembre"&amp;" "&amp;YEAR(B127))</f>
        <v/>
      </c>
      <c r="D127" s="101"/>
      <c r="E127" s="37"/>
      <c r="F127" s="187">
        <f t="shared" si="153"/>
        <v>0</v>
      </c>
      <c r="G127" s="187">
        <f t="shared" si="165"/>
        <v>0</v>
      </c>
      <c r="H127" s="109"/>
      <c r="J127" s="109"/>
      <c r="K127" s="110"/>
      <c r="M127" s="88" t="str">
        <f t="shared" si="151"/>
        <v/>
      </c>
      <c r="N127" s="101"/>
      <c r="P127" s="109"/>
      <c r="AV127" s="167">
        <f t="shared" si="154"/>
        <v>0</v>
      </c>
      <c r="AW127" s="169">
        <f t="shared" si="155"/>
        <v>0</v>
      </c>
      <c r="AX127" s="169">
        <f t="shared" si="166"/>
        <v>0</v>
      </c>
      <c r="AY127" s="171">
        <f t="shared" si="156"/>
        <v>0</v>
      </c>
      <c r="AZ127" s="176">
        <f>IF($E127&gt;=0.1,MIN($E127-$AW127,$D$63-$BA126),0)</f>
        <v>0</v>
      </c>
      <c r="BA127" s="169">
        <f t="shared" si="167"/>
        <v>0</v>
      </c>
      <c r="BB127" s="177">
        <f t="shared" si="158"/>
        <v>0</v>
      </c>
      <c r="BC127" s="176">
        <f t="shared" si="168"/>
        <v>0</v>
      </c>
      <c r="BD127" s="169">
        <f t="shared" si="169"/>
        <v>0</v>
      </c>
      <c r="BE127" s="177">
        <f t="shared" si="159"/>
        <v>0</v>
      </c>
      <c r="BF127" s="176">
        <f t="shared" si="170"/>
        <v>0</v>
      </c>
      <c r="BG127" s="169">
        <f t="shared" si="171"/>
        <v>0</v>
      </c>
      <c r="BH127" s="177">
        <f t="shared" si="160"/>
        <v>0</v>
      </c>
      <c r="BI127" s="176">
        <f t="shared" si="172"/>
        <v>0</v>
      </c>
      <c r="BJ127" s="169">
        <f t="shared" si="173"/>
        <v>0</v>
      </c>
      <c r="BK127" s="177">
        <f t="shared" si="161"/>
        <v>0</v>
      </c>
      <c r="BL127" s="176">
        <f t="shared" si="174"/>
        <v>0</v>
      </c>
      <c r="BM127" s="169">
        <f t="shared" si="175"/>
        <v>0</v>
      </c>
      <c r="BN127" s="177">
        <f t="shared" si="162"/>
        <v>0</v>
      </c>
      <c r="BO127" s="182">
        <f t="shared" si="163"/>
        <v>0</v>
      </c>
      <c r="CL127" s="8" t="str">
        <f t="shared" si="152"/>
        <v>NON</v>
      </c>
    </row>
    <row r="128" spans="1:91" s="8" customFormat="1" ht="13.5" customHeight="1" x14ac:dyDescent="0.2">
      <c r="A128" s="36">
        <f t="shared" si="164"/>
        <v>695789</v>
      </c>
      <c r="B128" s="1" t="str">
        <f>IF($B$127="","",IF(EDATE($B$127,1)&lt;=$D$17,EDATE($B$127,1),""))</f>
        <v/>
      </c>
      <c r="C128" s="88" t="str">
        <f>+IF(B128="","","Janvier"&amp;" "&amp;YEAR(B128))</f>
        <v/>
      </c>
      <c r="D128" s="101"/>
      <c r="E128" s="37"/>
      <c r="F128" s="187">
        <f t="shared" si="153"/>
        <v>0</v>
      </c>
      <c r="G128" s="187">
        <f t="shared" si="165"/>
        <v>0</v>
      </c>
      <c r="H128" s="109"/>
      <c r="J128" s="109"/>
      <c r="K128" s="110"/>
      <c r="M128" s="88" t="str">
        <f t="shared" si="151"/>
        <v/>
      </c>
      <c r="N128" s="101"/>
      <c r="P128" s="109"/>
      <c r="AV128" s="167">
        <f t="shared" si="154"/>
        <v>0</v>
      </c>
      <c r="AW128" s="169">
        <f t="shared" si="155"/>
        <v>0</v>
      </c>
      <c r="AX128" s="169">
        <f t="shared" si="166"/>
        <v>0</v>
      </c>
      <c r="AY128" s="171">
        <f t="shared" si="156"/>
        <v>0</v>
      </c>
      <c r="AZ128" s="176">
        <f t="shared" ref="AZ128:AZ132" si="176">IF($E128&gt;=0.1,MIN($E128-$AW128,$D$63-$BA127),0)</f>
        <v>0</v>
      </c>
      <c r="BA128" s="169">
        <f t="shared" si="167"/>
        <v>0</v>
      </c>
      <c r="BB128" s="177">
        <f t="shared" si="158"/>
        <v>0</v>
      </c>
      <c r="BC128" s="176">
        <f t="shared" si="168"/>
        <v>0</v>
      </c>
      <c r="BD128" s="169">
        <f t="shared" si="169"/>
        <v>0</v>
      </c>
      <c r="BE128" s="177">
        <f t="shared" si="159"/>
        <v>0</v>
      </c>
      <c r="BF128" s="176">
        <f t="shared" si="170"/>
        <v>0</v>
      </c>
      <c r="BG128" s="169">
        <f t="shared" si="171"/>
        <v>0</v>
      </c>
      <c r="BH128" s="177">
        <f t="shared" si="160"/>
        <v>0</v>
      </c>
      <c r="BI128" s="176">
        <f t="shared" si="172"/>
        <v>0</v>
      </c>
      <c r="BJ128" s="169">
        <f t="shared" si="173"/>
        <v>0</v>
      </c>
      <c r="BK128" s="177">
        <f t="shared" si="161"/>
        <v>0</v>
      </c>
      <c r="BL128" s="176">
        <f t="shared" si="174"/>
        <v>0</v>
      </c>
      <c r="BM128" s="169">
        <f t="shared" si="175"/>
        <v>0</v>
      </c>
      <c r="BN128" s="177">
        <f t="shared" si="162"/>
        <v>0</v>
      </c>
      <c r="BO128" s="182">
        <f t="shared" si="163"/>
        <v>0</v>
      </c>
      <c r="CL128" s="8" t="str">
        <f t="shared" si="152"/>
        <v>NON</v>
      </c>
    </row>
    <row r="129" spans="1:90" s="8" customFormat="1" ht="13.5" customHeight="1" x14ac:dyDescent="0.2">
      <c r="A129" s="36">
        <f t="shared" si="164"/>
        <v>695820</v>
      </c>
      <c r="B129" s="1" t="str">
        <f>IF($B$128="","",IF(EDATE($B$128,1)&lt;=$D$17,EDATE($B$128,1),""))</f>
        <v/>
      </c>
      <c r="C129" s="88" t="str">
        <f>+IF(B129="","","Février"&amp;" "&amp;YEAR(B129))</f>
        <v/>
      </c>
      <c r="D129" s="101"/>
      <c r="E129" s="37"/>
      <c r="F129" s="187">
        <f t="shared" si="153"/>
        <v>0</v>
      </c>
      <c r="G129" s="187">
        <f t="shared" si="165"/>
        <v>0</v>
      </c>
      <c r="H129" s="109"/>
      <c r="J129" s="109"/>
      <c r="K129" s="110"/>
      <c r="M129" s="88" t="str">
        <f t="shared" si="151"/>
        <v/>
      </c>
      <c r="N129" s="101"/>
      <c r="P129" s="109"/>
      <c r="AV129" s="167">
        <f t="shared" si="154"/>
        <v>0</v>
      </c>
      <c r="AW129" s="169">
        <f t="shared" si="155"/>
        <v>0</v>
      </c>
      <c r="AX129" s="169">
        <f t="shared" si="166"/>
        <v>0</v>
      </c>
      <c r="AY129" s="171">
        <f t="shared" si="156"/>
        <v>0</v>
      </c>
      <c r="AZ129" s="176">
        <f t="shared" si="176"/>
        <v>0</v>
      </c>
      <c r="BA129" s="169">
        <f t="shared" si="167"/>
        <v>0</v>
      </c>
      <c r="BB129" s="177">
        <f t="shared" si="158"/>
        <v>0</v>
      </c>
      <c r="BC129" s="176">
        <f t="shared" si="168"/>
        <v>0</v>
      </c>
      <c r="BD129" s="169">
        <f t="shared" si="169"/>
        <v>0</v>
      </c>
      <c r="BE129" s="177">
        <f t="shared" si="159"/>
        <v>0</v>
      </c>
      <c r="BF129" s="176">
        <f t="shared" si="170"/>
        <v>0</v>
      </c>
      <c r="BG129" s="169">
        <f t="shared" si="171"/>
        <v>0</v>
      </c>
      <c r="BH129" s="177">
        <f t="shared" si="160"/>
        <v>0</v>
      </c>
      <c r="BI129" s="176">
        <f t="shared" si="172"/>
        <v>0</v>
      </c>
      <c r="BJ129" s="169">
        <f t="shared" si="173"/>
        <v>0</v>
      </c>
      <c r="BK129" s="177">
        <f t="shared" si="161"/>
        <v>0</v>
      </c>
      <c r="BL129" s="176">
        <f t="shared" si="174"/>
        <v>0</v>
      </c>
      <c r="BM129" s="169">
        <f t="shared" si="175"/>
        <v>0</v>
      </c>
      <c r="BN129" s="177">
        <f t="shared" si="162"/>
        <v>0</v>
      </c>
      <c r="BO129" s="182">
        <f t="shared" si="163"/>
        <v>0</v>
      </c>
      <c r="CL129" s="8" t="str">
        <f t="shared" si="152"/>
        <v>NON</v>
      </c>
    </row>
    <row r="130" spans="1:90" s="8" customFormat="1" ht="13.5" customHeight="1" x14ac:dyDescent="0.2">
      <c r="A130" s="36">
        <f t="shared" si="164"/>
        <v>695848</v>
      </c>
      <c r="B130" s="1" t="str">
        <f>IF($B$129="","",IF(EDATE($B$129,1)&lt;=$D$17,EDATE($B$129,1),""))</f>
        <v/>
      </c>
      <c r="C130" s="88" t="str">
        <f>+IF(B130="","","Mars"&amp;" "&amp;YEAR(B130))</f>
        <v/>
      </c>
      <c r="D130" s="101"/>
      <c r="E130" s="37"/>
      <c r="F130" s="187">
        <f t="shared" si="153"/>
        <v>0</v>
      </c>
      <c r="G130" s="187">
        <f t="shared" si="165"/>
        <v>0</v>
      </c>
      <c r="H130" s="109"/>
      <c r="J130" s="109"/>
      <c r="K130" s="110"/>
      <c r="M130" s="88" t="str">
        <f t="shared" si="151"/>
        <v/>
      </c>
      <c r="N130" s="101"/>
      <c r="P130" s="109"/>
      <c r="AV130" s="167">
        <f t="shared" si="154"/>
        <v>0</v>
      </c>
      <c r="AW130" s="169">
        <f t="shared" si="155"/>
        <v>0</v>
      </c>
      <c r="AX130" s="169">
        <f t="shared" si="166"/>
        <v>0</v>
      </c>
      <c r="AY130" s="171">
        <f t="shared" si="156"/>
        <v>0</v>
      </c>
      <c r="AZ130" s="176">
        <f t="shared" si="176"/>
        <v>0</v>
      </c>
      <c r="BA130" s="169">
        <f t="shared" si="167"/>
        <v>0</v>
      </c>
      <c r="BB130" s="177">
        <f t="shared" si="158"/>
        <v>0</v>
      </c>
      <c r="BC130" s="176">
        <f t="shared" si="168"/>
        <v>0</v>
      </c>
      <c r="BD130" s="169">
        <f t="shared" si="169"/>
        <v>0</v>
      </c>
      <c r="BE130" s="177">
        <f t="shared" si="159"/>
        <v>0</v>
      </c>
      <c r="BF130" s="176">
        <f t="shared" si="170"/>
        <v>0</v>
      </c>
      <c r="BG130" s="169">
        <f t="shared" si="171"/>
        <v>0</v>
      </c>
      <c r="BH130" s="177">
        <f t="shared" si="160"/>
        <v>0</v>
      </c>
      <c r="BI130" s="176">
        <f t="shared" si="172"/>
        <v>0</v>
      </c>
      <c r="BJ130" s="169">
        <f t="shared" si="173"/>
        <v>0</v>
      </c>
      <c r="BK130" s="177">
        <f t="shared" si="161"/>
        <v>0</v>
      </c>
      <c r="BL130" s="176">
        <f t="shared" si="174"/>
        <v>0</v>
      </c>
      <c r="BM130" s="169">
        <f t="shared" si="175"/>
        <v>0</v>
      </c>
      <c r="BN130" s="177">
        <f t="shared" si="162"/>
        <v>0</v>
      </c>
      <c r="BO130" s="182">
        <f t="shared" si="163"/>
        <v>0</v>
      </c>
      <c r="CL130" s="8" t="str">
        <f t="shared" si="152"/>
        <v>NON</v>
      </c>
    </row>
    <row r="131" spans="1:90" s="8" customFormat="1" ht="13.5" customHeight="1" x14ac:dyDescent="0.2">
      <c r="A131" s="36">
        <f t="shared" si="164"/>
        <v>695879</v>
      </c>
      <c r="B131" s="1" t="str">
        <f>IF($B$130="","",IF(EDATE($B$130,1)&lt;=$D$17,EDATE($B$130,1),""))</f>
        <v/>
      </c>
      <c r="C131" s="88" t="str">
        <f>+IF(B131="","","Avril"&amp;" "&amp;YEAR(B131))</f>
        <v/>
      </c>
      <c r="D131" s="101"/>
      <c r="E131" s="37"/>
      <c r="F131" s="187">
        <f t="shared" si="153"/>
        <v>0</v>
      </c>
      <c r="G131" s="187">
        <f t="shared" si="165"/>
        <v>0</v>
      </c>
      <c r="H131" s="109"/>
      <c r="J131" s="109"/>
      <c r="K131" s="110"/>
      <c r="M131" s="88" t="str">
        <f t="shared" si="151"/>
        <v/>
      </c>
      <c r="N131" s="101"/>
      <c r="P131" s="109"/>
      <c r="AV131" s="167">
        <f t="shared" si="154"/>
        <v>0</v>
      </c>
      <c r="AW131" s="169">
        <f t="shared" si="155"/>
        <v>0</v>
      </c>
      <c r="AX131" s="169">
        <f t="shared" si="166"/>
        <v>0</v>
      </c>
      <c r="AY131" s="171">
        <f t="shared" si="156"/>
        <v>0</v>
      </c>
      <c r="AZ131" s="176">
        <f t="shared" si="176"/>
        <v>0</v>
      </c>
      <c r="BA131" s="169">
        <f t="shared" si="167"/>
        <v>0</v>
      </c>
      <c r="BB131" s="177">
        <f t="shared" si="158"/>
        <v>0</v>
      </c>
      <c r="BC131" s="176">
        <f t="shared" si="168"/>
        <v>0</v>
      </c>
      <c r="BD131" s="169">
        <f t="shared" si="169"/>
        <v>0</v>
      </c>
      <c r="BE131" s="177">
        <f t="shared" si="159"/>
        <v>0</v>
      </c>
      <c r="BF131" s="176">
        <f t="shared" si="170"/>
        <v>0</v>
      </c>
      <c r="BG131" s="169">
        <f t="shared" si="171"/>
        <v>0</v>
      </c>
      <c r="BH131" s="177">
        <f t="shared" si="160"/>
        <v>0</v>
      </c>
      <c r="BI131" s="176">
        <f t="shared" si="172"/>
        <v>0</v>
      </c>
      <c r="BJ131" s="169">
        <f t="shared" si="173"/>
        <v>0</v>
      </c>
      <c r="BK131" s="177">
        <f t="shared" si="161"/>
        <v>0</v>
      </c>
      <c r="BL131" s="176">
        <f t="shared" si="174"/>
        <v>0</v>
      </c>
      <c r="BM131" s="169">
        <f t="shared" si="175"/>
        <v>0</v>
      </c>
      <c r="BN131" s="177">
        <f t="shared" si="162"/>
        <v>0</v>
      </c>
      <c r="BO131" s="182">
        <f t="shared" si="163"/>
        <v>0</v>
      </c>
      <c r="CL131" s="8" t="str">
        <f t="shared" si="152"/>
        <v>NON</v>
      </c>
    </row>
    <row r="132" spans="1:90" s="8" customFormat="1" ht="13.5" customHeight="1" x14ac:dyDescent="0.2">
      <c r="A132" s="36">
        <f t="shared" si="164"/>
        <v>695909</v>
      </c>
      <c r="B132" s="1" t="str">
        <f>IF($B$131="","",IF(EDATE($B$131,1)&lt;=$D$17,EDATE($B$131,1),""))</f>
        <v/>
      </c>
      <c r="C132" s="88" t="str">
        <f>+IF(B132="","","Mai"&amp;" "&amp;YEAR(B132))</f>
        <v/>
      </c>
      <c r="D132" s="101"/>
      <c r="E132" s="37"/>
      <c r="F132" s="187">
        <f t="shared" si="153"/>
        <v>0</v>
      </c>
      <c r="G132" s="187">
        <f t="shared" si="165"/>
        <v>0</v>
      </c>
      <c r="H132" s="109"/>
      <c r="J132" s="109"/>
      <c r="K132" s="110"/>
      <c r="M132" s="88" t="str">
        <f t="shared" si="151"/>
        <v/>
      </c>
      <c r="N132" s="101"/>
      <c r="P132" s="109"/>
      <c r="AV132" s="168">
        <f t="shared" si="154"/>
        <v>0</v>
      </c>
      <c r="AW132" s="170">
        <f t="shared" si="155"/>
        <v>0</v>
      </c>
      <c r="AX132" s="170">
        <f t="shared" si="166"/>
        <v>0</v>
      </c>
      <c r="AY132" s="172">
        <f t="shared" si="156"/>
        <v>0</v>
      </c>
      <c r="AZ132" s="178">
        <f t="shared" si="176"/>
        <v>0</v>
      </c>
      <c r="BA132" s="170">
        <f t="shared" si="167"/>
        <v>0</v>
      </c>
      <c r="BB132" s="179">
        <f t="shared" si="158"/>
        <v>0</v>
      </c>
      <c r="BC132" s="178">
        <f t="shared" si="168"/>
        <v>0</v>
      </c>
      <c r="BD132" s="170">
        <f t="shared" si="169"/>
        <v>0</v>
      </c>
      <c r="BE132" s="179">
        <f t="shared" si="159"/>
        <v>0</v>
      </c>
      <c r="BF132" s="178">
        <f t="shared" si="170"/>
        <v>0</v>
      </c>
      <c r="BG132" s="170">
        <f t="shared" si="171"/>
        <v>0</v>
      </c>
      <c r="BH132" s="179">
        <f t="shared" si="160"/>
        <v>0</v>
      </c>
      <c r="BI132" s="178">
        <f t="shared" si="172"/>
        <v>0</v>
      </c>
      <c r="BJ132" s="170">
        <f t="shared" si="173"/>
        <v>0</v>
      </c>
      <c r="BK132" s="179">
        <f t="shared" si="161"/>
        <v>0</v>
      </c>
      <c r="BL132" s="178">
        <f t="shared" si="174"/>
        <v>0</v>
      </c>
      <c r="BM132" s="170">
        <f t="shared" si="175"/>
        <v>0</v>
      </c>
      <c r="BN132" s="179">
        <f t="shared" si="162"/>
        <v>0</v>
      </c>
      <c r="BO132" s="183">
        <f t="shared" si="163"/>
        <v>0</v>
      </c>
      <c r="CL132" s="8" t="str">
        <f t="shared" si="152"/>
        <v>NON</v>
      </c>
    </row>
    <row r="133" spans="1:90" s="8" customFormat="1" ht="13.5" customHeight="1" x14ac:dyDescent="0.2">
      <c r="A133" s="4"/>
      <c r="B133" s="6"/>
      <c r="C133" s="38" t="s">
        <v>82</v>
      </c>
      <c r="D133" s="39">
        <f>+N136</f>
        <v>0</v>
      </c>
      <c r="F133" s="125"/>
      <c r="G133" s="125"/>
      <c r="J133" s="40">
        <f>+P136</f>
        <v>0</v>
      </c>
      <c r="BO133" s="166"/>
    </row>
    <row r="134" spans="1:90" s="8" customFormat="1" ht="13.5" customHeight="1" x14ac:dyDescent="0.2">
      <c r="A134" s="4"/>
      <c r="B134" s="6"/>
      <c r="C134" s="41" t="s">
        <v>83</v>
      </c>
      <c r="D134" s="42"/>
      <c r="E134" s="43"/>
      <c r="F134" s="125"/>
      <c r="G134" s="125"/>
      <c r="J134" s="158"/>
      <c r="AY134" s="173">
        <f>SUM(AY121:AY132)</f>
        <v>0</v>
      </c>
      <c r="BB134" s="173">
        <f>SUM(BB121:BB132)</f>
        <v>0</v>
      </c>
      <c r="BE134" s="173">
        <f>SUM(BE121:BE132)</f>
        <v>0</v>
      </c>
      <c r="BH134" s="173">
        <f>SUM(BH121:BH132)</f>
        <v>0</v>
      </c>
      <c r="BK134" s="173">
        <f>SUM(BK121:BK132)</f>
        <v>0</v>
      </c>
      <c r="BN134" s="173">
        <f>SUM(BN121:BN132)</f>
        <v>0</v>
      </c>
      <c r="BO134" s="184">
        <f>SUM(BO121:BO133)</f>
        <v>0</v>
      </c>
    </row>
    <row r="135" spans="1:90" s="8" customFormat="1" ht="12.75" x14ac:dyDescent="0.2">
      <c r="A135" s="4"/>
      <c r="B135" s="6"/>
      <c r="C135" s="75"/>
      <c r="D135" s="76"/>
      <c r="E135" s="43"/>
      <c r="F135" s="125"/>
      <c r="G135" s="125"/>
      <c r="J135" s="116"/>
      <c r="K135" s="134"/>
    </row>
    <row r="136" spans="1:90" s="8" customFormat="1" ht="40.5" customHeight="1" x14ac:dyDescent="0.2">
      <c r="A136" s="36"/>
      <c r="B136" s="1"/>
      <c r="C136" s="157" t="s">
        <v>84</v>
      </c>
      <c r="D136" s="155">
        <f>MIN(ROUNDUP(SUM(D121:D134),0),30)</f>
        <v>0</v>
      </c>
      <c r="E136" s="165">
        <f>SUM(E121:E132)</f>
        <v>0</v>
      </c>
      <c r="F136" s="204" t="str">
        <f>+IF($E$139&gt;$D$139,"TROP DE JOURS pris par rapport aux jours acquis ou aux jours en cours d'acquisition","")</f>
        <v/>
      </c>
      <c r="G136" s="205"/>
      <c r="H136" s="205"/>
      <c r="J136" s="135">
        <f>SUM(J121:J135)</f>
        <v>0</v>
      </c>
      <c r="K136" s="118" t="e">
        <f>"Valeur d'un jour ouvrable de CP en 10% = "&amp;ROUND(J136,2)&amp;" € / "&amp;ROUNDUP(SUM(D122:D133),0)&amp;" jrs X 0,10 = "&amp;ROUND(J136/(ROUNDUP(SUM(D122:D133),0))*0.1,2)&amp;" €"</f>
        <v>#DIV/0!</v>
      </c>
      <c r="N136" s="39">
        <f>SUM(N121:N132)</f>
        <v>0</v>
      </c>
      <c r="P136" s="48">
        <f>SUM(P121:P132)</f>
        <v>0</v>
      </c>
    </row>
    <row r="137" spans="1:90" s="8" customFormat="1" ht="30.75" hidden="1" customHeight="1" thickBot="1" x14ac:dyDescent="0.25">
      <c r="A137" s="36"/>
      <c r="B137" s="1"/>
      <c r="C137" s="156" t="s">
        <v>85</v>
      </c>
      <c r="D137" s="153">
        <f>+D118+D136</f>
        <v>0</v>
      </c>
      <c r="E137" s="154">
        <f>+E136+E118</f>
        <v>0</v>
      </c>
      <c r="J137" s="52">
        <f>+J118+J136</f>
        <v>0</v>
      </c>
      <c r="K137" s="114"/>
      <c r="L137" s="9"/>
    </row>
    <row r="138" spans="1:90" s="8" customFormat="1" ht="7.5" customHeight="1" x14ac:dyDescent="0.2">
      <c r="A138" s="36"/>
      <c r="B138" s="1"/>
      <c r="C138" s="58"/>
      <c r="D138" s="59"/>
      <c r="E138" s="60"/>
      <c r="J138" s="61"/>
      <c r="K138" s="114"/>
      <c r="L138" s="9"/>
    </row>
    <row r="139" spans="1:90" s="8" customFormat="1" ht="54.75" customHeight="1" x14ac:dyDescent="0.2">
      <c r="A139" s="36"/>
      <c r="B139" s="1"/>
      <c r="C139" s="160" t="s">
        <v>106</v>
      </c>
      <c r="D139" s="161">
        <f>+D136+D117+D99+D81+D63+D45</f>
        <v>0</v>
      </c>
      <c r="E139" s="186">
        <f>+E136+E117+E99+E81+E63+E45</f>
        <v>0</v>
      </c>
      <c r="K139" s="114"/>
      <c r="L139" s="9"/>
    </row>
    <row r="147" spans="2:2" s="8" customFormat="1" ht="12.75" x14ac:dyDescent="0.2">
      <c r="B147" s="6"/>
    </row>
    <row r="148" spans="2:2" s="8" customFormat="1" ht="12.75" x14ac:dyDescent="0.2">
      <c r="B148" s="6"/>
    </row>
    <row r="149" spans="2:2" s="8" customFormat="1" ht="12.75" x14ac:dyDescent="0.2">
      <c r="B149" s="6"/>
    </row>
    <row r="150" spans="2:2" s="8" customFormat="1" ht="12.75" x14ac:dyDescent="0.2">
      <c r="B150" s="6"/>
    </row>
    <row r="151" spans="2:2" s="8" customFormat="1" ht="12.75" x14ac:dyDescent="0.2">
      <c r="B151" s="6"/>
    </row>
    <row r="152" spans="2:2" s="8" customFormat="1" ht="12.75" x14ac:dyDescent="0.2">
      <c r="B152" s="6"/>
    </row>
    <row r="153" spans="2:2" s="8" customFormat="1" ht="12.75" x14ac:dyDescent="0.2">
      <c r="B153" s="6"/>
    </row>
    <row r="154" spans="2:2" s="8" customFormat="1" ht="12.75" x14ac:dyDescent="0.2">
      <c r="B154" s="6"/>
    </row>
    <row r="155" spans="2:2" s="8" customFormat="1" ht="12.75" x14ac:dyDescent="0.2">
      <c r="B155" s="6"/>
    </row>
    <row r="156" spans="2:2" s="8" customFormat="1" ht="12.75" x14ac:dyDescent="0.2">
      <c r="B156" s="6"/>
    </row>
    <row r="157" spans="2:2" s="8" customFormat="1" ht="12.75" x14ac:dyDescent="0.2">
      <c r="B157" s="6"/>
    </row>
    <row r="158" spans="2:2" s="8" customFormat="1" ht="12.75" x14ac:dyDescent="0.2">
      <c r="B158" s="6"/>
    </row>
    <row r="159" spans="2:2" s="8" customFormat="1" ht="12.75" x14ac:dyDescent="0.2">
      <c r="B159" s="6"/>
    </row>
    <row r="160" spans="2:2" s="8" customFormat="1" ht="12.75" x14ac:dyDescent="0.2">
      <c r="B160" s="6"/>
    </row>
    <row r="161" spans="2:2" s="8" customFormat="1" ht="12.75" x14ac:dyDescent="0.2">
      <c r="B161" s="6"/>
    </row>
    <row r="162" spans="2:2" s="8" customFormat="1" ht="12.75" x14ac:dyDescent="0.2">
      <c r="B162" s="6"/>
    </row>
    <row r="163" spans="2:2" s="8" customFormat="1" ht="12.75" x14ac:dyDescent="0.2">
      <c r="B163" s="6"/>
    </row>
    <row r="164" spans="2:2" s="8" customFormat="1" ht="12.75" x14ac:dyDescent="0.2">
      <c r="B164" s="6"/>
    </row>
    <row r="165" spans="2:2" s="8" customFormat="1" ht="12.75" x14ac:dyDescent="0.2">
      <c r="B165" s="6"/>
    </row>
    <row r="166" spans="2:2" s="8" customFormat="1" ht="12.75" x14ac:dyDescent="0.2">
      <c r="B166" s="6"/>
    </row>
    <row r="167" spans="2:2" s="8" customFormat="1" ht="12.75" x14ac:dyDescent="0.2">
      <c r="B167" s="6"/>
    </row>
    <row r="168" spans="2:2" s="8" customFormat="1" ht="12.75" x14ac:dyDescent="0.2">
      <c r="B168" s="6"/>
    </row>
    <row r="169" spans="2:2" s="8" customFormat="1" ht="12.75" x14ac:dyDescent="0.2">
      <c r="B169" s="6"/>
    </row>
    <row r="170" spans="2:2" s="8" customFormat="1" ht="12.75" x14ac:dyDescent="0.2">
      <c r="B170" s="6"/>
    </row>
    <row r="171" spans="2:2" s="8" customFormat="1" ht="12.75" x14ac:dyDescent="0.2">
      <c r="B171" s="6"/>
    </row>
    <row r="172" spans="2:2" s="8" customFormat="1" ht="12.75" x14ac:dyDescent="0.2">
      <c r="B172" s="6"/>
    </row>
    <row r="173" spans="2:2" s="8" customFormat="1" ht="12.75" x14ac:dyDescent="0.2">
      <c r="B173" s="6"/>
    </row>
    <row r="174" spans="2:2" s="8" customFormat="1" ht="12.75" x14ac:dyDescent="0.2">
      <c r="B174" s="6"/>
    </row>
    <row r="175" spans="2:2" s="8" customFormat="1" ht="12.75" x14ac:dyDescent="0.2">
      <c r="B175" s="6"/>
    </row>
    <row r="176" spans="2:2" s="8" customFormat="1" ht="12.75" x14ac:dyDescent="0.2">
      <c r="B176" s="6"/>
    </row>
    <row r="177" spans="2:2" s="8" customFormat="1" ht="12.75" x14ac:dyDescent="0.2">
      <c r="B177" s="6"/>
    </row>
    <row r="178" spans="2:2" s="8" customFormat="1" ht="12.75" x14ac:dyDescent="0.2">
      <c r="B178" s="6"/>
    </row>
    <row r="179" spans="2:2" s="8" customFormat="1" ht="12.75" x14ac:dyDescent="0.2">
      <c r="B179" s="6"/>
    </row>
    <row r="180" spans="2:2" s="8" customFormat="1" ht="12.75" x14ac:dyDescent="0.2">
      <c r="B180" s="6"/>
    </row>
    <row r="181" spans="2:2" s="8" customFormat="1" ht="12.75" x14ac:dyDescent="0.2">
      <c r="B181" s="6"/>
    </row>
    <row r="182" spans="2:2" s="8" customFormat="1" ht="12.75" x14ac:dyDescent="0.2">
      <c r="B182" s="6"/>
    </row>
    <row r="183" spans="2:2" s="8" customFormat="1" ht="12.75" x14ac:dyDescent="0.2">
      <c r="B183" s="6"/>
    </row>
    <row r="184" spans="2:2" s="8" customFormat="1" ht="12.75" x14ac:dyDescent="0.2">
      <c r="B184" s="6"/>
    </row>
    <row r="185" spans="2:2" s="8" customFormat="1" ht="12.75" x14ac:dyDescent="0.2">
      <c r="B185" s="6"/>
    </row>
    <row r="186" spans="2:2" s="8" customFormat="1" ht="12.75" x14ac:dyDescent="0.2">
      <c r="B186" s="6"/>
    </row>
    <row r="187" spans="2:2" s="8" customFormat="1" ht="12.75" x14ac:dyDescent="0.2">
      <c r="B187" s="6"/>
    </row>
    <row r="188" spans="2:2" s="8" customFormat="1" ht="12.75" x14ac:dyDescent="0.2">
      <c r="B188" s="6"/>
    </row>
    <row r="189" spans="2:2" s="8" customFormat="1" ht="12.75" x14ac:dyDescent="0.2">
      <c r="B189" s="6"/>
    </row>
    <row r="190" spans="2:2" s="8" customFormat="1" ht="12.75" x14ac:dyDescent="0.2">
      <c r="B190" s="6"/>
    </row>
    <row r="191" spans="2:2" s="8" customFormat="1" ht="12.75" x14ac:dyDescent="0.2">
      <c r="B191" s="6"/>
    </row>
    <row r="192" spans="2:2" s="8" customFormat="1" ht="12.75" x14ac:dyDescent="0.2">
      <c r="B192" s="6"/>
    </row>
    <row r="193" spans="2:2" s="8" customFormat="1" ht="12.75" x14ac:dyDescent="0.2">
      <c r="B193" s="6"/>
    </row>
    <row r="194" spans="2:2" s="8" customFormat="1" ht="12.75" x14ac:dyDescent="0.2">
      <c r="B194" s="6"/>
    </row>
    <row r="195" spans="2:2" s="8" customFormat="1" ht="12.75" x14ac:dyDescent="0.2">
      <c r="B195" s="6"/>
    </row>
    <row r="196" spans="2:2" s="8" customFormat="1" ht="12.75" x14ac:dyDescent="0.2">
      <c r="B196" s="6"/>
    </row>
    <row r="197" spans="2:2" s="8" customFormat="1" ht="12.75" x14ac:dyDescent="0.2">
      <c r="B197" s="6"/>
    </row>
    <row r="198" spans="2:2" s="8" customFormat="1" ht="12.75" x14ac:dyDescent="0.2">
      <c r="B198" s="6"/>
    </row>
    <row r="199" spans="2:2" s="8" customFormat="1" ht="12.75" x14ac:dyDescent="0.2">
      <c r="B199" s="6"/>
    </row>
    <row r="200" spans="2:2" s="8" customFormat="1" ht="12.75" x14ac:dyDescent="0.2">
      <c r="B200" s="6"/>
    </row>
    <row r="201" spans="2:2" s="8" customFormat="1" ht="12.75" x14ac:dyDescent="0.2">
      <c r="B201" s="6"/>
    </row>
    <row r="202" spans="2:2" s="8" customFormat="1" ht="12.75" x14ac:dyDescent="0.2">
      <c r="B202" s="6"/>
    </row>
    <row r="203" spans="2:2" s="8" customFormat="1" ht="12.75" x14ac:dyDescent="0.2">
      <c r="B203" s="6"/>
    </row>
    <row r="204" spans="2:2" s="8" customFormat="1" ht="12.75" x14ac:dyDescent="0.2">
      <c r="B204" s="6"/>
    </row>
    <row r="205" spans="2:2" s="8" customFormat="1" ht="12.75" x14ac:dyDescent="0.2">
      <c r="B205" s="6"/>
    </row>
    <row r="206" spans="2:2" s="8" customFormat="1" ht="12.75" x14ac:dyDescent="0.2">
      <c r="B206" s="6"/>
    </row>
    <row r="207" spans="2:2" s="8" customFormat="1" ht="12.75" x14ac:dyDescent="0.2">
      <c r="B207" s="6"/>
    </row>
    <row r="208" spans="2:2" s="8" customFormat="1" ht="12.75" x14ac:dyDescent="0.2">
      <c r="B208" s="6"/>
    </row>
    <row r="209" spans="2:2" s="8" customFormat="1" ht="12.75" x14ac:dyDescent="0.2">
      <c r="B209" s="6"/>
    </row>
    <row r="210" spans="2:2" s="8" customFormat="1" ht="12.75" x14ac:dyDescent="0.2">
      <c r="B210" s="6"/>
    </row>
    <row r="211" spans="2:2" s="8" customFormat="1" ht="12.75" x14ac:dyDescent="0.2">
      <c r="B211" s="6"/>
    </row>
    <row r="212" spans="2:2" s="8" customFormat="1" ht="12.75" x14ac:dyDescent="0.2">
      <c r="B212" s="6"/>
    </row>
    <row r="213" spans="2:2" s="8" customFormat="1" ht="12.75" x14ac:dyDescent="0.2">
      <c r="B213" s="6"/>
    </row>
    <row r="214" spans="2:2" s="8" customFormat="1" ht="12.75" x14ac:dyDescent="0.2">
      <c r="B214" s="6"/>
    </row>
    <row r="215" spans="2:2" s="8" customFormat="1" ht="12.75" x14ac:dyDescent="0.2">
      <c r="B215" s="6"/>
    </row>
    <row r="216" spans="2:2" s="8" customFormat="1" ht="12.75" x14ac:dyDescent="0.2">
      <c r="B216" s="6"/>
    </row>
    <row r="217" spans="2:2" s="8" customFormat="1" ht="12.75" x14ac:dyDescent="0.2">
      <c r="B217" s="6"/>
    </row>
    <row r="218" spans="2:2" s="8" customFormat="1" ht="12.75" x14ac:dyDescent="0.2">
      <c r="B218" s="6"/>
    </row>
    <row r="219" spans="2:2" s="8" customFormat="1" ht="12.75" x14ac:dyDescent="0.2">
      <c r="B219" s="6"/>
    </row>
  </sheetData>
  <sheetProtection algorithmName="SHA-512" hashValue="tv/04kqcSRuBvZ5Fu1dXPuF5c6/vVoSdNck+xCnxBv9t4VDHqvEsZtpZHMs61Tg2ix4deoZh2IekZ2jhkQelag==" saltValue="f05H9oJOr4626WxTBN70Xg==" spinCount="100000" sheet="1" objects="1" scenarios="1" formatCells="0" formatColumns="0" formatRows="0" insertColumns="0" insertRows="0" insertHyperlinks="0" sort="0" autoFilter="0" pivotTables="0"/>
  <mergeCells count="58">
    <mergeCell ref="C11:D11"/>
    <mergeCell ref="C1:K1"/>
    <mergeCell ref="C2:I2"/>
    <mergeCell ref="D4:G4"/>
    <mergeCell ref="D6:G6"/>
    <mergeCell ref="C9:D9"/>
    <mergeCell ref="C24:D24"/>
    <mergeCell ref="C25:D25"/>
    <mergeCell ref="F28:G28"/>
    <mergeCell ref="C47:D47"/>
    <mergeCell ref="C13:D13"/>
    <mergeCell ref="F13:H13"/>
    <mergeCell ref="C20:D20"/>
    <mergeCell ref="C21:D21"/>
    <mergeCell ref="C22:D22"/>
    <mergeCell ref="C23:D23"/>
    <mergeCell ref="BL29:BN29"/>
    <mergeCell ref="F45:H45"/>
    <mergeCell ref="AW47:AY47"/>
    <mergeCell ref="AZ47:BB47"/>
    <mergeCell ref="BC47:BE47"/>
    <mergeCell ref="BF47:BH47"/>
    <mergeCell ref="BI47:BK47"/>
    <mergeCell ref="BL47:BN47"/>
    <mergeCell ref="AW29:AY29"/>
    <mergeCell ref="AZ29:BB29"/>
    <mergeCell ref="BC29:BE29"/>
    <mergeCell ref="BF29:BH29"/>
    <mergeCell ref="BI29:BK29"/>
    <mergeCell ref="F63:H63"/>
    <mergeCell ref="AW65:AY65"/>
    <mergeCell ref="AZ65:BB65"/>
    <mergeCell ref="BC65:BE65"/>
    <mergeCell ref="BF65:BH65"/>
    <mergeCell ref="BI65:BK65"/>
    <mergeCell ref="BL65:BN65"/>
    <mergeCell ref="F81:H81"/>
    <mergeCell ref="AW83:AY83"/>
    <mergeCell ref="AZ83:BB83"/>
    <mergeCell ref="BC83:BE83"/>
    <mergeCell ref="BF83:BH83"/>
    <mergeCell ref="BI83:BK83"/>
    <mergeCell ref="BL83:BN83"/>
    <mergeCell ref="F99:H99"/>
    <mergeCell ref="AW101:AY101"/>
    <mergeCell ref="AZ101:BB101"/>
    <mergeCell ref="BC101:BE101"/>
    <mergeCell ref="BF101:BH101"/>
    <mergeCell ref="F136:H136"/>
    <mergeCell ref="BI101:BK101"/>
    <mergeCell ref="BL101:BN101"/>
    <mergeCell ref="F117:H117"/>
    <mergeCell ref="AW119:AY119"/>
    <mergeCell ref="AZ119:BB119"/>
    <mergeCell ref="BC119:BE119"/>
    <mergeCell ref="BF119:BH119"/>
    <mergeCell ref="BI119:BK119"/>
    <mergeCell ref="BL119:BN119"/>
  </mergeCells>
  <conditionalFormatting sqref="C44:D44 J44:K44">
    <cfRule type="expression" dxfId="217" priority="52">
      <formula>$CM$44="NON"</formula>
    </cfRule>
  </conditionalFormatting>
  <conditionalFormatting sqref="C62:D62">
    <cfRule type="expression" dxfId="216" priority="60">
      <formula>$CM$62="NON"</formula>
    </cfRule>
  </conditionalFormatting>
  <conditionalFormatting sqref="C80:D80">
    <cfRule type="expression" dxfId="215" priority="54">
      <formula>$CM$80="NON"</formula>
    </cfRule>
  </conditionalFormatting>
  <conditionalFormatting sqref="C98:D98">
    <cfRule type="expression" dxfId="214" priority="53">
      <formula>$CM$98="NON"</formula>
    </cfRule>
  </conditionalFormatting>
  <conditionalFormatting sqref="C116:D116">
    <cfRule type="expression" dxfId="213" priority="45">
      <formula>$CM$115="NON"</formula>
    </cfRule>
  </conditionalFormatting>
  <conditionalFormatting sqref="C134:D134">
    <cfRule type="expression" dxfId="212" priority="19">
      <formula>$CM$115="NON"</formula>
    </cfRule>
  </conditionalFormatting>
  <conditionalFormatting sqref="C31:H42 J49:K60 J67:K78 J85:K96">
    <cfRule type="expression" dxfId="211" priority="37">
      <formula>$CL31="NON"</formula>
    </cfRule>
  </conditionalFormatting>
  <conditionalFormatting sqref="C49:H60">
    <cfRule type="expression" dxfId="210" priority="18">
      <formula>$CL49="NON"</formula>
    </cfRule>
  </conditionalFormatting>
  <conditionalFormatting sqref="C67:H78">
    <cfRule type="expression" dxfId="209" priority="17">
      <formula>$CL67="NON"</formula>
    </cfRule>
  </conditionalFormatting>
  <conditionalFormatting sqref="C85:H96">
    <cfRule type="expression" dxfId="208" priority="16">
      <formula>$CL85="NON"</formula>
    </cfRule>
  </conditionalFormatting>
  <conditionalFormatting sqref="C103:H114">
    <cfRule type="expression" dxfId="207" priority="15">
      <formula>$CL103="NON"</formula>
    </cfRule>
  </conditionalFormatting>
  <conditionalFormatting sqref="C121:H132">
    <cfRule type="expression" dxfId="206" priority="14">
      <formula>$CL121="NON"</formula>
    </cfRule>
  </conditionalFormatting>
  <conditionalFormatting sqref="D45">
    <cfRule type="cellIs" dxfId="205" priority="51" operator="greaterThan">
      <formula>30</formula>
    </cfRule>
  </conditionalFormatting>
  <conditionalFormatting sqref="D116">
    <cfRule type="notContainsBlanks" dxfId="204" priority="67">
      <formula>LEN(TRIM(D116))&gt;0</formula>
    </cfRule>
  </conditionalFormatting>
  <conditionalFormatting sqref="D134">
    <cfRule type="notContainsBlanks" dxfId="203" priority="20">
      <formula>LEN(TRIM(D134))&gt;0</formula>
    </cfRule>
  </conditionalFormatting>
  <conditionalFormatting sqref="E45">
    <cfRule type="expression" dxfId="202" priority="13">
      <formula>$F$45&lt;&gt;""</formula>
    </cfRule>
  </conditionalFormatting>
  <conditionalFormatting sqref="E63">
    <cfRule type="expression" dxfId="201" priority="12">
      <formula>$F$45&lt;&gt;""</formula>
    </cfRule>
  </conditionalFormatting>
  <conditionalFormatting sqref="E81">
    <cfRule type="expression" dxfId="200" priority="11">
      <formula>$F$45&lt;&gt;""</formula>
    </cfRule>
  </conditionalFormatting>
  <conditionalFormatting sqref="E99">
    <cfRule type="expression" dxfId="199" priority="10">
      <formula>$F$45&lt;&gt;""</formula>
    </cfRule>
  </conditionalFormatting>
  <conditionalFormatting sqref="E117">
    <cfRule type="expression" dxfId="198" priority="9">
      <formula>$F$45&lt;&gt;""</formula>
    </cfRule>
  </conditionalFormatting>
  <conditionalFormatting sqref="E136">
    <cfRule type="expression" dxfId="197" priority="8">
      <formula>$F$45&lt;&gt;""</formula>
    </cfRule>
  </conditionalFormatting>
  <conditionalFormatting sqref="H20:H25">
    <cfRule type="notContainsBlanks" dxfId="196" priority="44">
      <formula>LEN(TRIM(H20))&gt;0</formula>
    </cfRule>
  </conditionalFormatting>
  <conditionalFormatting sqref="H31:H42">
    <cfRule type="notContainsBlanks" dxfId="195" priority="38">
      <formula>LEN(TRIM(H31))&gt;0</formula>
    </cfRule>
  </conditionalFormatting>
  <conditionalFormatting sqref="H49:H60">
    <cfRule type="notContainsBlanks" dxfId="194" priority="36">
      <formula>LEN(TRIM(H49))&gt;0</formula>
    </cfRule>
  </conditionalFormatting>
  <conditionalFormatting sqref="H67:H78">
    <cfRule type="notContainsBlanks" dxfId="193" priority="34">
      <formula>LEN(TRIM(H67))&gt;0</formula>
    </cfRule>
  </conditionalFormatting>
  <conditionalFormatting sqref="H85:H96">
    <cfRule type="notContainsBlanks" dxfId="192" priority="32">
      <formula>LEN(TRIM(H85))&gt;0</formula>
    </cfRule>
  </conditionalFormatting>
  <conditionalFormatting sqref="H103:H114">
    <cfRule type="notContainsBlanks" dxfId="191" priority="30">
      <formula>LEN(TRIM(H103))&gt;0</formula>
    </cfRule>
  </conditionalFormatting>
  <conditionalFormatting sqref="H121:H132">
    <cfRule type="notContainsBlanks" dxfId="190" priority="28">
      <formula>LEN(TRIM(H121))&gt;0</formula>
    </cfRule>
  </conditionalFormatting>
  <conditionalFormatting sqref="J31:K42">
    <cfRule type="expression" dxfId="189" priority="65">
      <formula>$CL31="NON"</formula>
    </cfRule>
  </conditionalFormatting>
  <conditionalFormatting sqref="J62:K62">
    <cfRule type="expression" dxfId="188" priority="43">
      <formula>$CM$44="NON"</formula>
    </cfRule>
  </conditionalFormatting>
  <conditionalFormatting sqref="J80:K80">
    <cfRule type="expression" dxfId="187" priority="42">
      <formula>$CM$44="NON"</formula>
    </cfRule>
  </conditionalFormatting>
  <conditionalFormatting sqref="J98:K98">
    <cfRule type="expression" dxfId="186" priority="41">
      <formula>$CM$44="NON"</formula>
    </cfRule>
  </conditionalFormatting>
  <conditionalFormatting sqref="J103:K114 J31:K42 N49:N60 N67:N78 N85:N96 N31:N42 D62 P67:P78 P85:P96 N103:N114 P31:P42 P103:P114 D80 D98 D44 D31:E42 J49:K60 J67:K78 J85:K96 D49:E60 D67:E78 D85:E96 D103:E114 D4:G4 D6:G6 E9:F9 D15 P49:P60">
    <cfRule type="notContainsBlanks" dxfId="185" priority="69">
      <formula>LEN(TRIM(D4))&gt;0</formula>
    </cfRule>
  </conditionalFormatting>
  <conditionalFormatting sqref="J103:K114">
    <cfRule type="expression" dxfId="184" priority="66">
      <formula>$CL103="NON"</formula>
    </cfRule>
  </conditionalFormatting>
  <conditionalFormatting sqref="J116:K116">
    <cfRule type="expression" dxfId="183" priority="40">
      <formula>$CM$44="NON"</formula>
    </cfRule>
  </conditionalFormatting>
  <conditionalFormatting sqref="J121:K132 N121:N132 P121:P132 D121:E132">
    <cfRule type="notContainsBlanks" dxfId="182" priority="68">
      <formula>LEN(TRIM(D121))&gt;0</formula>
    </cfRule>
  </conditionalFormatting>
  <conditionalFormatting sqref="J121:K132">
    <cfRule type="expression" dxfId="181" priority="48">
      <formula>$CL121="NON"</formula>
    </cfRule>
  </conditionalFormatting>
  <conditionalFormatting sqref="J135:K135">
    <cfRule type="expression" dxfId="180" priority="39">
      <formula>$CM$44="NON"</formula>
    </cfRule>
  </conditionalFormatting>
  <conditionalFormatting sqref="K2">
    <cfRule type="containsBlanks" dxfId="179" priority="50">
      <formula>LEN(TRIM(K2))=0</formula>
    </cfRule>
  </conditionalFormatting>
  <conditionalFormatting sqref="K45">
    <cfRule type="containsErrors" dxfId="178" priority="6">
      <formula>ISERROR(K45)</formula>
    </cfRule>
  </conditionalFormatting>
  <conditionalFormatting sqref="K63">
    <cfRule type="containsErrors" dxfId="177" priority="5">
      <formula>ISERROR(K63)</formula>
    </cfRule>
  </conditionalFormatting>
  <conditionalFormatting sqref="K81">
    <cfRule type="containsErrors" dxfId="176" priority="4">
      <formula>ISERROR(K81)</formula>
    </cfRule>
  </conditionalFormatting>
  <conditionalFormatting sqref="K99">
    <cfRule type="containsErrors" dxfId="175" priority="3">
      <formula>ISERROR(K99)</formula>
    </cfRule>
  </conditionalFormatting>
  <conditionalFormatting sqref="K117">
    <cfRule type="containsErrors" dxfId="174" priority="2">
      <formula>ISERROR(K117)</formula>
    </cfRule>
  </conditionalFormatting>
  <conditionalFormatting sqref="K136">
    <cfRule type="containsErrors" dxfId="173" priority="1">
      <formula>ISERROR(K136)</formula>
    </cfRule>
  </conditionalFormatting>
  <conditionalFormatting sqref="M31:N42">
    <cfRule type="expression" dxfId="172" priority="61">
      <formula>$CL31="NON"</formula>
    </cfRule>
  </conditionalFormatting>
  <conditionalFormatting sqref="M49:N60">
    <cfRule type="expression" dxfId="171" priority="64">
      <formula>$CL49="NON"</formula>
    </cfRule>
  </conditionalFormatting>
  <conditionalFormatting sqref="M67:N78">
    <cfRule type="expression" dxfId="170" priority="63">
      <formula>$CL67="NON"</formula>
    </cfRule>
  </conditionalFormatting>
  <conditionalFormatting sqref="M85:N96">
    <cfRule type="expression" dxfId="169" priority="62">
      <formula>$CL85="NON"</formula>
    </cfRule>
  </conditionalFormatting>
  <conditionalFormatting sqref="M103:N114">
    <cfRule type="expression" dxfId="168" priority="57">
      <formula>$CL103="NON"</formula>
    </cfRule>
  </conditionalFormatting>
  <conditionalFormatting sqref="M121:N132">
    <cfRule type="expression" dxfId="167" priority="47">
      <formula>$CL121="NON"</formula>
    </cfRule>
  </conditionalFormatting>
  <conditionalFormatting sqref="P31:P42">
    <cfRule type="expression" dxfId="166" priority="56">
      <formula>$CL31="NON"</formula>
    </cfRule>
  </conditionalFormatting>
  <conditionalFormatting sqref="P67:P78">
    <cfRule type="expression" dxfId="165" priority="59">
      <formula>$CL67="NON"</formula>
    </cfRule>
  </conditionalFormatting>
  <conditionalFormatting sqref="P85:P96">
    <cfRule type="expression" dxfId="164" priority="58">
      <formula>$CL85="NON"</formula>
    </cfRule>
  </conditionalFormatting>
  <conditionalFormatting sqref="P103:P114">
    <cfRule type="expression" dxfId="163" priority="55">
      <formula>$CL103="NON"</formula>
    </cfRule>
  </conditionalFormatting>
  <conditionalFormatting sqref="P121:P132">
    <cfRule type="expression" dxfId="162" priority="46">
      <formula>$CL121="NON"</formula>
    </cfRule>
  </conditionalFormatting>
  <conditionalFormatting sqref="CL2:CM2">
    <cfRule type="expression" dxfId="161" priority="49">
      <formula>$C$49=""</formula>
    </cfRule>
  </conditionalFormatting>
  <dataValidations count="1">
    <dataValidation type="list" showInputMessage="1" showErrorMessage="1" sqref="K2" xr:uid="{67C4314A-0571-442D-AFB3-1DFAA4C4D404}">
      <formula1>"NET,BRUT"</formula1>
    </dataValidation>
  </dataValidations>
  <pageMargins left="0.25" right="0.25" top="0.75" bottom="0.75" header="0.3" footer="0.3"/>
  <pageSetup paperSize="9" scale="60" fitToHeight="0" orientation="landscape" r:id="rId1"/>
  <rowBreaks count="2" manualBreakCount="2">
    <brk id="83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EF4D-6EC6-4CEF-98C4-D983B7E97652}">
  <sheetPr>
    <tabColor rgb="FF66FF66"/>
  </sheetPr>
  <dimension ref="A1:AZ248"/>
  <sheetViews>
    <sheetView showGridLines="0" topLeftCell="B1" zoomScale="90" zoomScaleNormal="90" workbookViewId="0">
      <selection activeCell="D17" sqref="D17"/>
    </sheetView>
  </sheetViews>
  <sheetFormatPr baseColWidth="10" defaultRowHeight="14.25" x14ac:dyDescent="0.2"/>
  <cols>
    <col min="1" max="1" width="10.140625" style="77" hidden="1" customWidth="1"/>
    <col min="2" max="2" width="3.85546875" style="6" customWidth="1"/>
    <col min="3" max="3" width="34.140625" style="77" customWidth="1"/>
    <col min="4" max="4" width="15.85546875" style="77" customWidth="1"/>
    <col min="5" max="5" width="12.85546875" style="77" customWidth="1"/>
    <col min="6" max="6" width="13.140625" style="77" customWidth="1"/>
    <col min="7" max="7" width="16.42578125" style="77" customWidth="1"/>
    <col min="8" max="8" width="60" style="77" customWidth="1"/>
    <col min="9" max="9" width="11.42578125" style="77"/>
    <col min="10" max="10" width="18.42578125" style="77" bestFit="1" customWidth="1"/>
    <col min="11" max="11" width="11.42578125" style="77"/>
    <col min="12" max="12" width="10" style="77" customWidth="1"/>
    <col min="13" max="13" width="12" style="77" customWidth="1"/>
    <col min="14" max="25" width="11.42578125" style="77"/>
    <col min="26" max="26" width="10.85546875" style="77" customWidth="1"/>
    <col min="27" max="27" width="12.42578125" style="77" customWidth="1"/>
    <col min="28" max="28" width="15.7109375" style="77" customWidth="1"/>
    <col min="29" max="29" width="19.140625" style="77" customWidth="1"/>
    <col min="30" max="30" width="27.42578125" style="77" customWidth="1"/>
    <col min="31" max="31" width="16" style="77" customWidth="1"/>
    <col min="32" max="32" width="27.42578125" style="77" customWidth="1"/>
    <col min="33" max="33" width="19.28515625" style="77" customWidth="1"/>
    <col min="34" max="34" width="16.42578125" style="77" customWidth="1"/>
    <col min="35" max="35" width="19.7109375" style="77" hidden="1" customWidth="1"/>
    <col min="36" max="36" width="15.7109375" style="77" hidden="1" customWidth="1"/>
    <col min="37" max="37" width="13.7109375" style="77" hidden="1" customWidth="1"/>
    <col min="38" max="38" width="11.42578125" style="77" hidden="1" customWidth="1"/>
    <col min="39" max="39" width="3.7109375" style="77" hidden="1" customWidth="1"/>
    <col min="40" max="40" width="11.42578125" style="77" hidden="1" customWidth="1"/>
    <col min="41" max="41" width="25" style="77" hidden="1" customWidth="1"/>
    <col min="42" max="45" width="11.42578125" style="77" hidden="1" customWidth="1"/>
    <col min="46" max="46" width="10.85546875" style="77" hidden="1" customWidth="1"/>
    <col min="47" max="47" width="28.5703125" style="77" hidden="1" customWidth="1"/>
    <col min="48" max="52" width="11.42578125" style="77" hidden="1" customWidth="1"/>
    <col min="53" max="53" width="11.42578125" style="77" customWidth="1"/>
    <col min="54" max="16384" width="11.42578125" style="77"/>
  </cols>
  <sheetData>
    <row r="1" spans="2:47" ht="34.5" customHeight="1" x14ac:dyDescent="0.2">
      <c r="C1" s="225" t="s">
        <v>1</v>
      </c>
      <c r="D1" s="225"/>
      <c r="E1" s="225"/>
      <c r="F1" s="225"/>
      <c r="G1" s="225"/>
      <c r="H1" s="225"/>
      <c r="I1" s="10"/>
      <c r="J1" s="10"/>
      <c r="K1" s="10"/>
      <c r="AB1" s="78"/>
      <c r="AC1" s="79"/>
      <c r="AD1" s="79"/>
      <c r="AE1" s="79"/>
      <c r="AF1" s="79"/>
      <c r="AG1" s="80"/>
      <c r="AH1" s="81"/>
      <c r="AI1" s="81"/>
      <c r="AJ1" s="81"/>
      <c r="AK1" s="81"/>
      <c r="AO1" s="82" t="s">
        <v>5</v>
      </c>
      <c r="AP1" s="82" t="s">
        <v>6</v>
      </c>
      <c r="AQ1" s="82" t="s">
        <v>7</v>
      </c>
      <c r="AR1" s="82" t="s">
        <v>8</v>
      </c>
      <c r="AS1" s="82" t="s">
        <v>9</v>
      </c>
      <c r="AT1" s="82" t="s">
        <v>10</v>
      </c>
      <c r="AU1" s="82" t="s">
        <v>11</v>
      </c>
    </row>
    <row r="2" spans="2:47" ht="15.75" x14ac:dyDescent="0.25">
      <c r="C2" s="226" t="s">
        <v>4</v>
      </c>
      <c r="D2" s="226"/>
      <c r="E2" s="226"/>
      <c r="F2" s="226"/>
      <c r="G2" s="226"/>
      <c r="H2" s="226"/>
      <c r="I2" s="226"/>
      <c r="J2" s="11" t="s">
        <v>12</v>
      </c>
      <c r="K2" s="12" t="s">
        <v>3</v>
      </c>
      <c r="L2" s="13" t="s">
        <v>13</v>
      </c>
      <c r="AE2" s="5"/>
      <c r="AF2" s="83"/>
      <c r="AI2" s="84"/>
      <c r="AJ2" s="84"/>
      <c r="AN2" s="85">
        <v>1</v>
      </c>
      <c r="AO2" s="85" t="s">
        <v>14</v>
      </c>
      <c r="AP2" s="85" t="str">
        <f>+IF(AND($D$17&gt;=A43,$D$17&lt;=EOMONTH(A54,0)),"OUI","NON")</f>
        <v>NON</v>
      </c>
      <c r="AQ2" s="85" t="str">
        <f>+IF(AND($D$17&gt;=A63,$D$17&lt;=EOMONTH(A74,0)),"OUI","NON")</f>
        <v>NON</v>
      </c>
      <c r="AR2" s="85" t="str">
        <f>+IF(AND($D$17&gt;=A84,$D$17&lt;=EOMONTH(A95,0)),"OUI","NON")</f>
        <v>NON</v>
      </c>
      <c r="AS2" s="85" t="str">
        <f>+IF(AND($D$17&gt;=A106,$D$17&lt;=EOMONTH(A117,0)),"OUI","NON")</f>
        <v>NON</v>
      </c>
      <c r="AT2" s="85" t="str">
        <f>+IF(AND($D$17&gt;=A129,$D$17&lt;=EOMONTH(A140,0)),"OUI","NON")</f>
        <v>NON</v>
      </c>
      <c r="AU2" s="85" t="str">
        <f>+IF(AND($D$17&gt;=A153,$D$17&lt;=EOMONTH(A164,0)),"OUI","NON")</f>
        <v>NON</v>
      </c>
    </row>
    <row r="3" spans="2:47" x14ac:dyDescent="0.2">
      <c r="J3" s="124" t="s">
        <v>88</v>
      </c>
      <c r="K3" s="77">
        <v>0.78120000000000001</v>
      </c>
      <c r="AC3" s="5"/>
      <c r="AD3" s="83"/>
      <c r="AE3" s="5"/>
      <c r="AF3" s="83"/>
      <c r="AI3" s="84"/>
      <c r="AJ3" s="84"/>
      <c r="AK3" s="84"/>
      <c r="AN3" s="85">
        <v>2</v>
      </c>
      <c r="AO3" s="85" t="s">
        <v>15</v>
      </c>
      <c r="AP3" s="86">
        <f>+ROUND($G$57,2)</f>
        <v>0</v>
      </c>
      <c r="AQ3" s="86">
        <f t="shared" ref="AQ3:AU3" si="0">+ROUND($G$57,2)</f>
        <v>0</v>
      </c>
      <c r="AR3" s="86">
        <f t="shared" si="0"/>
        <v>0</v>
      </c>
      <c r="AS3" s="86">
        <f t="shared" si="0"/>
        <v>0</v>
      </c>
      <c r="AT3" s="86">
        <f t="shared" si="0"/>
        <v>0</v>
      </c>
      <c r="AU3" s="86">
        <f t="shared" si="0"/>
        <v>0</v>
      </c>
    </row>
    <row r="4" spans="2:47" s="8" customFormat="1" ht="12.75" x14ac:dyDescent="0.2">
      <c r="B4" s="6"/>
      <c r="C4" s="14" t="s">
        <v>16</v>
      </c>
      <c r="D4" s="227"/>
      <c r="E4" s="227"/>
      <c r="F4" s="227"/>
      <c r="G4" s="227"/>
      <c r="AC4" s="5"/>
      <c r="AD4" s="13"/>
      <c r="AE4" s="5"/>
      <c r="AF4" s="13"/>
      <c r="AI4" s="87"/>
      <c r="AJ4" s="87"/>
      <c r="AK4" s="87"/>
      <c r="AN4" s="88">
        <v>3</v>
      </c>
      <c r="AO4" s="88" t="s">
        <v>17</v>
      </c>
      <c r="AP4" s="89"/>
      <c r="AQ4" s="89">
        <f>ROUND(+$G$77,2)</f>
        <v>0</v>
      </c>
      <c r="AR4" s="89">
        <f t="shared" ref="AR4:AU4" si="1">ROUND(+$G$77,2)</f>
        <v>0</v>
      </c>
      <c r="AS4" s="89">
        <f t="shared" si="1"/>
        <v>0</v>
      </c>
      <c r="AT4" s="89">
        <f t="shared" si="1"/>
        <v>0</v>
      </c>
      <c r="AU4" s="89">
        <f t="shared" si="1"/>
        <v>0</v>
      </c>
    </row>
    <row r="5" spans="2:47" s="8" customFormat="1" ht="12.75" x14ac:dyDescent="0.2">
      <c r="B5" s="6"/>
      <c r="C5" s="3"/>
      <c r="D5" s="90"/>
      <c r="E5" s="90"/>
      <c r="F5" s="90"/>
      <c r="G5" s="90"/>
      <c r="AC5" s="5"/>
      <c r="AD5" s="13"/>
      <c r="AE5" s="5"/>
      <c r="AF5" s="13"/>
      <c r="AI5" s="87"/>
      <c r="AJ5" s="87"/>
      <c r="AK5" s="87"/>
      <c r="AN5" s="88">
        <v>4</v>
      </c>
      <c r="AO5" s="88" t="s">
        <v>18</v>
      </c>
      <c r="AP5" s="89"/>
      <c r="AQ5" s="89"/>
      <c r="AR5" s="89">
        <f>ROUND(+$G$98,2)</f>
        <v>0</v>
      </c>
      <c r="AS5" s="89">
        <f t="shared" ref="AS5:AU5" si="2">ROUND(+$G$98,2)</f>
        <v>0</v>
      </c>
      <c r="AT5" s="89">
        <f t="shared" si="2"/>
        <v>0</v>
      </c>
      <c r="AU5" s="89">
        <f t="shared" si="2"/>
        <v>0</v>
      </c>
    </row>
    <row r="6" spans="2:47" s="8" customFormat="1" ht="12.75" x14ac:dyDescent="0.2">
      <c r="B6" s="6"/>
      <c r="C6" s="14" t="s">
        <v>19</v>
      </c>
      <c r="D6" s="227"/>
      <c r="E6" s="227"/>
      <c r="F6" s="227"/>
      <c r="G6" s="227"/>
      <c r="AC6" s="5"/>
      <c r="AD6" s="13"/>
      <c r="AE6" s="5"/>
      <c r="AF6" s="13"/>
      <c r="AI6" s="87"/>
      <c r="AJ6" s="87"/>
      <c r="AK6" s="87"/>
      <c r="AN6" s="88">
        <v>5</v>
      </c>
      <c r="AO6" s="88" t="s">
        <v>20</v>
      </c>
      <c r="AP6" s="89"/>
      <c r="AQ6" s="89"/>
      <c r="AR6" s="89"/>
      <c r="AS6" s="89">
        <f>+ROUND($G$120,2)</f>
        <v>0</v>
      </c>
      <c r="AT6" s="89">
        <f t="shared" ref="AT6:AU6" si="3">+$G$120</f>
        <v>0</v>
      </c>
      <c r="AU6" s="89">
        <f t="shared" si="3"/>
        <v>0</v>
      </c>
    </row>
    <row r="7" spans="2:47" s="8" customFormat="1" ht="12.75" x14ac:dyDescent="0.2">
      <c r="B7" s="6"/>
      <c r="AC7" s="5"/>
      <c r="AD7" s="13"/>
      <c r="AE7" s="5"/>
      <c r="AF7" s="13"/>
      <c r="AG7" s="91"/>
      <c r="AH7" s="87"/>
      <c r="AI7" s="87"/>
      <c r="AJ7" s="87"/>
      <c r="AK7" s="87"/>
      <c r="AN7" s="88">
        <v>6</v>
      </c>
      <c r="AO7" s="88" t="s">
        <v>21</v>
      </c>
      <c r="AP7" s="89"/>
      <c r="AQ7" s="89"/>
      <c r="AR7" s="89"/>
      <c r="AS7" s="89"/>
      <c r="AT7" s="89">
        <f>+ROUND($G$143,2)</f>
        <v>0</v>
      </c>
      <c r="AU7" s="89">
        <f>+ROUND($G$143,2)</f>
        <v>0</v>
      </c>
    </row>
    <row r="8" spans="2:47" s="8" customFormat="1" ht="12.75" x14ac:dyDescent="0.2">
      <c r="B8" s="6"/>
      <c r="E8" s="15"/>
      <c r="AN8" s="88">
        <v>7</v>
      </c>
      <c r="AO8" s="88" t="s">
        <v>22</v>
      </c>
      <c r="AP8" s="89"/>
      <c r="AQ8" s="89"/>
      <c r="AR8" s="89"/>
      <c r="AS8" s="89"/>
      <c r="AT8" s="89"/>
      <c r="AU8" s="89">
        <f>+ROUND(G167,2)</f>
        <v>0</v>
      </c>
    </row>
    <row r="9" spans="2:47" s="8" customFormat="1" ht="12.75" x14ac:dyDescent="0.2">
      <c r="B9" s="6"/>
      <c r="C9" s="223" t="str">
        <f>+IF(K2="BRUT","Mensualisation en BRUT :","Mensualisation en NET :")</f>
        <v>Mensualisation en BRUT :</v>
      </c>
      <c r="D9" s="224"/>
      <c r="E9" s="16"/>
      <c r="F9" s="121"/>
      <c r="AN9" s="88">
        <v>8</v>
      </c>
      <c r="AO9" s="88" t="s">
        <v>23</v>
      </c>
      <c r="AP9" s="89">
        <f>+AP3</f>
        <v>0</v>
      </c>
      <c r="AQ9" s="89">
        <f>+AQ4</f>
        <v>0</v>
      </c>
      <c r="AR9" s="89">
        <f>+AR5</f>
        <v>0</v>
      </c>
      <c r="AS9" s="89">
        <f>+AS6</f>
        <v>0</v>
      </c>
      <c r="AT9" s="89">
        <f>+AT7</f>
        <v>0</v>
      </c>
      <c r="AU9" s="89">
        <f>+AU8</f>
        <v>0</v>
      </c>
    </row>
    <row r="10" spans="2:47" s="8" customFormat="1" ht="12.75" x14ac:dyDescent="0.2">
      <c r="B10" s="6"/>
      <c r="C10" s="7"/>
      <c r="D10" s="93"/>
      <c r="E10" s="93"/>
      <c r="AN10" s="88">
        <v>9</v>
      </c>
      <c r="AO10" s="88" t="s">
        <v>24</v>
      </c>
      <c r="AP10" s="94">
        <f>+$D$57</f>
        <v>0</v>
      </c>
      <c r="AQ10" s="94">
        <f t="shared" ref="AQ10:AU10" si="4">+$D$57</f>
        <v>0</v>
      </c>
      <c r="AR10" s="94">
        <f t="shared" si="4"/>
        <v>0</v>
      </c>
      <c r="AS10" s="94">
        <f t="shared" si="4"/>
        <v>0</v>
      </c>
      <c r="AT10" s="94">
        <f t="shared" si="4"/>
        <v>0</v>
      </c>
      <c r="AU10" s="94">
        <f t="shared" si="4"/>
        <v>0</v>
      </c>
    </row>
    <row r="11" spans="2:47" s="8" customFormat="1" ht="12.75" x14ac:dyDescent="0.2">
      <c r="B11" s="6"/>
      <c r="C11" s="223" t="s">
        <v>25</v>
      </c>
      <c r="D11" s="224"/>
      <c r="E11" s="123">
        <v>52</v>
      </c>
      <c r="F11" s="122"/>
      <c r="AN11" s="88">
        <v>10</v>
      </c>
      <c r="AO11" s="88" t="s">
        <v>26</v>
      </c>
      <c r="AP11" s="88"/>
      <c r="AQ11" s="94">
        <f>+$D$77</f>
        <v>0</v>
      </c>
      <c r="AR11" s="94">
        <f t="shared" ref="AR11:AU11" si="5">+$D$77</f>
        <v>0</v>
      </c>
      <c r="AS11" s="94">
        <f t="shared" si="5"/>
        <v>0</v>
      </c>
      <c r="AT11" s="94">
        <f t="shared" si="5"/>
        <v>0</v>
      </c>
      <c r="AU11" s="94">
        <f t="shared" si="5"/>
        <v>0</v>
      </c>
    </row>
    <row r="12" spans="2:47" s="8" customFormat="1" ht="12.75" x14ac:dyDescent="0.2">
      <c r="B12" s="6"/>
      <c r="AN12" s="88">
        <v>11</v>
      </c>
      <c r="AO12" s="88" t="s">
        <v>27</v>
      </c>
      <c r="AP12" s="88"/>
      <c r="AQ12" s="88"/>
      <c r="AR12" s="94">
        <f>+$D$98</f>
        <v>0</v>
      </c>
      <c r="AS12" s="94">
        <f t="shared" ref="AS12:AU12" si="6">+$D$98</f>
        <v>0</v>
      </c>
      <c r="AT12" s="94">
        <f t="shared" si="6"/>
        <v>0</v>
      </c>
      <c r="AU12" s="94">
        <f t="shared" si="6"/>
        <v>0</v>
      </c>
    </row>
    <row r="13" spans="2:47" s="8" customFormat="1" ht="26.25" customHeight="1" x14ac:dyDescent="0.2">
      <c r="B13" s="6"/>
      <c r="C13" s="216" t="s">
        <v>28</v>
      </c>
      <c r="D13" s="217"/>
      <c r="E13" s="92">
        <f>+ROUND(E9*12/E11,2)</f>
        <v>0</v>
      </c>
      <c r="F13" s="218" t="str">
        <f>+"Détail : "&amp;E9&amp;" € X 12 mois / "&amp;E11&amp;" sem"</f>
        <v>Détail :  € X 12 mois / 52 sem</v>
      </c>
      <c r="G13" s="219"/>
      <c r="H13" s="220"/>
      <c r="AN13" s="88">
        <v>12</v>
      </c>
      <c r="AO13" s="88" t="s">
        <v>29</v>
      </c>
      <c r="AP13" s="88"/>
      <c r="AQ13" s="88"/>
      <c r="AR13" s="88"/>
      <c r="AS13" s="94">
        <f>+$D$120</f>
        <v>0</v>
      </c>
      <c r="AT13" s="94">
        <f t="shared" ref="AT13:AU13" si="7">+$D$120</f>
        <v>0</v>
      </c>
      <c r="AU13" s="94">
        <f t="shared" si="7"/>
        <v>0</v>
      </c>
    </row>
    <row r="14" spans="2:47" s="8" customFormat="1" ht="12.75" x14ac:dyDescent="0.2">
      <c r="B14" s="6"/>
      <c r="AN14" s="88">
        <v>13</v>
      </c>
      <c r="AO14" s="88" t="s">
        <v>30</v>
      </c>
      <c r="AP14" s="88"/>
      <c r="AQ14" s="88"/>
      <c r="AR14" s="88"/>
      <c r="AS14" s="88"/>
      <c r="AT14" s="94">
        <f>+$D$143</f>
        <v>0</v>
      </c>
      <c r="AU14" s="94">
        <f>+$D$143</f>
        <v>0</v>
      </c>
    </row>
    <row r="15" spans="2:47" s="8" customFormat="1" ht="12.75" x14ac:dyDescent="0.2">
      <c r="B15" s="6"/>
      <c r="C15" s="96" t="s">
        <v>31</v>
      </c>
      <c r="D15" s="97"/>
      <c r="E15" s="8" t="s">
        <v>32</v>
      </c>
      <c r="AN15" s="88">
        <v>14</v>
      </c>
      <c r="AO15" s="88" t="s">
        <v>33</v>
      </c>
      <c r="AP15" s="88"/>
      <c r="AQ15" s="88"/>
      <c r="AR15" s="88"/>
      <c r="AS15" s="88"/>
      <c r="AT15" s="88"/>
      <c r="AU15" s="94">
        <f>+$D$167</f>
        <v>0</v>
      </c>
    </row>
    <row r="16" spans="2:47" s="8" customFormat="1" ht="12.75" x14ac:dyDescent="0.2">
      <c r="B16" s="6"/>
      <c r="F16" s="17" t="str">
        <f>IF(D17&gt;=DATE(YEAR(A43)+6,6,1),"ERREUR LA DUREE DU CONTRAT EST TROP LONGUE POUR CET OUTIL","")</f>
        <v/>
      </c>
      <c r="G16" s="17"/>
      <c r="H16" s="17"/>
      <c r="AN16" s="88">
        <v>15</v>
      </c>
      <c r="AO16" s="88" t="s">
        <v>34</v>
      </c>
      <c r="AP16" s="94">
        <f>+AP10</f>
        <v>0</v>
      </c>
      <c r="AQ16" s="94">
        <f>+AQ11</f>
        <v>0</v>
      </c>
      <c r="AR16" s="94">
        <f>+AR12</f>
        <v>0</v>
      </c>
      <c r="AS16" s="94">
        <f>+AS13</f>
        <v>0</v>
      </c>
      <c r="AT16" s="94">
        <f>+AT14</f>
        <v>0</v>
      </c>
      <c r="AU16" s="94">
        <f>+AU15</f>
        <v>0</v>
      </c>
    </row>
    <row r="17" spans="2:47" s="8" customFormat="1" ht="12.75" x14ac:dyDescent="0.2">
      <c r="B17" s="6"/>
      <c r="C17" s="96" t="s">
        <v>35</v>
      </c>
      <c r="D17" s="97"/>
      <c r="E17" s="8" t="s">
        <v>32</v>
      </c>
      <c r="AN17" s="88">
        <v>16</v>
      </c>
      <c r="AO17" s="88" t="s">
        <v>36</v>
      </c>
      <c r="AP17" s="94">
        <f>+E60</f>
        <v>0</v>
      </c>
      <c r="AQ17" s="94">
        <f t="shared" ref="AQ17:AQ18" si="8">E80</f>
        <v>0</v>
      </c>
      <c r="AR17" s="94">
        <f t="shared" ref="AR17:AR19" si="9">E101</f>
        <v>0</v>
      </c>
      <c r="AS17" s="94">
        <f t="shared" ref="AS17:AS20" si="10">E123</f>
        <v>0</v>
      </c>
      <c r="AT17" s="94">
        <f t="shared" ref="AT17:AT21" si="11">E146</f>
        <v>0</v>
      </c>
      <c r="AU17" s="94">
        <f t="shared" ref="AU17:AU21" si="12">E170</f>
        <v>0</v>
      </c>
    </row>
    <row r="18" spans="2:47" s="8" customFormat="1" ht="13.5" thickBot="1" x14ac:dyDescent="0.25">
      <c r="B18" s="6"/>
      <c r="AN18" s="88">
        <v>17</v>
      </c>
      <c r="AO18" s="88" t="s">
        <v>37</v>
      </c>
      <c r="AP18" s="88"/>
      <c r="AQ18" s="94">
        <f t="shared" si="8"/>
        <v>0</v>
      </c>
      <c r="AR18" s="94">
        <f t="shared" si="9"/>
        <v>0</v>
      </c>
      <c r="AS18" s="94">
        <f t="shared" si="10"/>
        <v>0</v>
      </c>
      <c r="AT18" s="94">
        <f t="shared" si="11"/>
        <v>0</v>
      </c>
      <c r="AU18" s="94">
        <f t="shared" si="12"/>
        <v>0</v>
      </c>
    </row>
    <row r="19" spans="2:47" s="8" customFormat="1" ht="13.5" thickBot="1" x14ac:dyDescent="0.25">
      <c r="B19" s="6"/>
      <c r="C19" s="243" t="s">
        <v>38</v>
      </c>
      <c r="D19" s="243"/>
      <c r="E19" s="243"/>
      <c r="F19" s="18" t="e">
        <f>ROUNDUP(+HLOOKUP("OUI",bd,30,FALSE)+D37+D38,0)</f>
        <v>#N/A</v>
      </c>
      <c r="AN19" s="88">
        <v>18</v>
      </c>
      <c r="AO19" s="88" t="s">
        <v>39</v>
      </c>
      <c r="AP19" s="88"/>
      <c r="AQ19" s="88"/>
      <c r="AR19" s="94">
        <f t="shared" si="9"/>
        <v>0</v>
      </c>
      <c r="AS19" s="94">
        <f t="shared" si="10"/>
        <v>0</v>
      </c>
      <c r="AT19" s="94">
        <f t="shared" si="11"/>
        <v>0</v>
      </c>
      <c r="AU19" s="94">
        <f t="shared" si="12"/>
        <v>0</v>
      </c>
    </row>
    <row r="20" spans="2:47" s="8" customFormat="1" ht="12.75" x14ac:dyDescent="0.2">
      <c r="B20" s="6"/>
      <c r="C20" s="19"/>
      <c r="D20" s="19"/>
      <c r="E20" s="19"/>
      <c r="F20" s="20"/>
      <c r="AN20" s="88">
        <v>19</v>
      </c>
      <c r="AO20" s="88" t="s">
        <v>40</v>
      </c>
      <c r="AP20" s="88"/>
      <c r="AQ20" s="88"/>
      <c r="AR20" s="88"/>
      <c r="AS20" s="94">
        <f t="shared" si="10"/>
        <v>0</v>
      </c>
      <c r="AT20" s="94">
        <f t="shared" si="11"/>
        <v>0</v>
      </c>
      <c r="AU20" s="94">
        <f t="shared" si="12"/>
        <v>0</v>
      </c>
    </row>
    <row r="21" spans="2:47" s="8" customFormat="1" ht="34.5" customHeight="1" x14ac:dyDescent="0.2">
      <c r="B21" s="6"/>
      <c r="C21" s="244" t="str">
        <f>IF(K2="BRUT","Montant ICCP en maintien de salaire en BRUT :","Montant ICCP en maintien de salaire en NET :")</f>
        <v>Montant ICCP en maintien de salaire en BRUT :</v>
      </c>
      <c r="D21" s="244"/>
      <c r="E21" s="244"/>
      <c r="F21" s="21" t="e">
        <f>ROUND(+E13/6*F19,2)</f>
        <v>#N/A</v>
      </c>
      <c r="G21" s="236" t="e">
        <f>+"Détail : Salaire hebdomadaire / 6 jours X Nombre de jours ICCP = "&amp;E13&amp;" € / 6 jours X "&amp;F19&amp;" jrs"</f>
        <v>#N/A</v>
      </c>
      <c r="H21" s="236"/>
      <c r="AN21" s="88">
        <v>20</v>
      </c>
      <c r="AO21" s="88" t="s">
        <v>41</v>
      </c>
      <c r="AP21" s="88"/>
      <c r="AQ21" s="88"/>
      <c r="AR21" s="88"/>
      <c r="AS21" s="88"/>
      <c r="AT21" s="94">
        <f t="shared" si="11"/>
        <v>0</v>
      </c>
      <c r="AU21" s="94">
        <f t="shared" si="12"/>
        <v>0</v>
      </c>
    </row>
    <row r="22" spans="2:47" s="8" customFormat="1" ht="12.75" x14ac:dyDescent="0.2">
      <c r="B22" s="6"/>
      <c r="C22" s="19"/>
      <c r="D22" s="19"/>
      <c r="E22" s="7"/>
      <c r="F22" s="20"/>
      <c r="AN22" s="88">
        <v>21</v>
      </c>
      <c r="AO22" s="88" t="s">
        <v>42</v>
      </c>
      <c r="AP22" s="88"/>
      <c r="AQ22" s="88"/>
      <c r="AR22" s="88"/>
      <c r="AS22" s="88"/>
      <c r="AT22" s="88"/>
      <c r="AU22" s="94">
        <f>E175</f>
        <v>0</v>
      </c>
    </row>
    <row r="23" spans="2:47" s="8" customFormat="1" ht="42.75" customHeight="1" x14ac:dyDescent="0.2">
      <c r="B23" s="6"/>
      <c r="C23" s="240" t="str">
        <f>IF(K2="BRUT","Montant ICCP en 10% en BRUT :","Montant ICCP en 10% en NET :")</f>
        <v>Montant ICCP en 10% en BRUT :</v>
      </c>
      <c r="D23" s="235" t="str">
        <f>+IFERROR(C42,"")</f>
        <v xml:space="preserve">Période : 
Janvier 1900 à </v>
      </c>
      <c r="E23" s="235"/>
      <c r="F23" s="22">
        <f>IFERROR(+HLOOKUP("OUI",bd,31,FALSE),0)</f>
        <v>0</v>
      </c>
      <c r="G23" s="236" t="e">
        <f>IF(D23="","",+"Détail : [Total Salaire (hors indemnités) X 10 / 100 X ( jours restants / jrs acquis) ] "&amp;HLOOKUP("OUI",bd,37,FALSE))</f>
        <v>#N/A</v>
      </c>
      <c r="H23" s="236"/>
      <c r="AN23" s="88">
        <v>22</v>
      </c>
      <c r="AO23" s="88" t="s">
        <v>43</v>
      </c>
      <c r="AP23" s="94">
        <f>+AP17</f>
        <v>0</v>
      </c>
      <c r="AQ23" s="94">
        <f>+AQ18</f>
        <v>0</v>
      </c>
      <c r="AR23" s="94">
        <f>+AR19</f>
        <v>0</v>
      </c>
      <c r="AS23" s="94">
        <f>+AS20</f>
        <v>0</v>
      </c>
      <c r="AT23" s="94">
        <f>+AT21</f>
        <v>0</v>
      </c>
      <c r="AU23" s="94">
        <f>+AU22</f>
        <v>0</v>
      </c>
    </row>
    <row r="24" spans="2:47" s="8" customFormat="1" ht="42.75" customHeight="1" x14ac:dyDescent="0.2">
      <c r="B24" s="6"/>
      <c r="C24" s="241"/>
      <c r="D24" s="235" t="str">
        <f>IFERROR(C62,"")</f>
        <v/>
      </c>
      <c r="E24" s="235"/>
      <c r="F24" s="22">
        <f>IFERROR(+HLOOKUP("OUI",bd,32,FALSE),0)</f>
        <v>0</v>
      </c>
      <c r="G24" s="236" t="str">
        <f>IF(D24="","",+"Détail : [Total Salaire (hors indemnités) X 10 / 100 X ( jours restants / jrs acquis) ] "&amp;HLOOKUP("OUI",bd,38,FALSE))</f>
        <v/>
      </c>
      <c r="H24" s="236"/>
      <c r="AN24" s="88">
        <v>23</v>
      </c>
      <c r="AO24" s="88" t="s">
        <v>44</v>
      </c>
      <c r="AP24" s="94">
        <f>$G$60</f>
        <v>0</v>
      </c>
      <c r="AQ24" s="94">
        <f t="shared" ref="AQ24:AQ25" si="13">G80</f>
        <v>0</v>
      </c>
      <c r="AR24" s="94">
        <f t="shared" ref="AR24:AR26" si="14">G101</f>
        <v>0</v>
      </c>
      <c r="AS24" s="94">
        <f t="shared" ref="AS24:AS27" si="15">G123</f>
        <v>0</v>
      </c>
      <c r="AT24" s="94">
        <f t="shared" ref="AT24:AT28" si="16">G146</f>
        <v>0</v>
      </c>
      <c r="AU24" s="94">
        <f t="shared" ref="AU24:AU29" si="17">G170</f>
        <v>0</v>
      </c>
    </row>
    <row r="25" spans="2:47" s="8" customFormat="1" ht="42.75" customHeight="1" x14ac:dyDescent="0.2">
      <c r="B25" s="6"/>
      <c r="C25" s="241"/>
      <c r="D25" s="235" t="str">
        <f>IFERROR(+C83,"")</f>
        <v/>
      </c>
      <c r="E25" s="235"/>
      <c r="F25" s="22">
        <f>IFERROR(+HLOOKUP("OUI",bd,33,FALSE),0)</f>
        <v>0</v>
      </c>
      <c r="G25" s="236" t="str">
        <f>IF(D25="","",+"Détail : [Total Salaire (hors indemnités) X 10 / 100 X ( jours restants / jrs acquis) ] "&amp;HLOOKUP("OUI",bd,39,FALSE))</f>
        <v/>
      </c>
      <c r="H25" s="236"/>
      <c r="AN25" s="88">
        <v>24</v>
      </c>
      <c r="AO25" s="88" t="s">
        <v>45</v>
      </c>
      <c r="AP25" s="88"/>
      <c r="AQ25" s="94">
        <f t="shared" si="13"/>
        <v>0</v>
      </c>
      <c r="AR25" s="94">
        <f t="shared" si="14"/>
        <v>0</v>
      </c>
      <c r="AS25" s="94">
        <f t="shared" si="15"/>
        <v>0</v>
      </c>
      <c r="AT25" s="94">
        <f t="shared" si="16"/>
        <v>0</v>
      </c>
      <c r="AU25" s="94">
        <f t="shared" si="17"/>
        <v>0</v>
      </c>
    </row>
    <row r="26" spans="2:47" s="8" customFormat="1" ht="42.75" customHeight="1" x14ac:dyDescent="0.2">
      <c r="B26" s="6"/>
      <c r="C26" s="241"/>
      <c r="D26" s="235" t="str">
        <f>IFERROR(C105,"")</f>
        <v/>
      </c>
      <c r="E26" s="235"/>
      <c r="F26" s="22">
        <f>IFERROR(+HLOOKUP("OUI",bd,34,FALSE),0)</f>
        <v>0</v>
      </c>
      <c r="G26" s="236" t="str">
        <f>IF(D26="","",+"Détail : [Total Salaire (hors indemnités) X 10 / 100 X ( jours restants / jrs acquis) ] "&amp;HLOOKUP("OUI",bd,40,FALSE))</f>
        <v/>
      </c>
      <c r="H26" s="236"/>
      <c r="AN26" s="88">
        <v>25</v>
      </c>
      <c r="AO26" s="88" t="s">
        <v>46</v>
      </c>
      <c r="AP26" s="88"/>
      <c r="AQ26" s="88"/>
      <c r="AR26" s="94">
        <f t="shared" si="14"/>
        <v>0</v>
      </c>
      <c r="AS26" s="94">
        <f t="shared" si="15"/>
        <v>0</v>
      </c>
      <c r="AT26" s="94">
        <f t="shared" si="16"/>
        <v>0</v>
      </c>
      <c r="AU26" s="94">
        <f t="shared" si="17"/>
        <v>0</v>
      </c>
    </row>
    <row r="27" spans="2:47" s="8" customFormat="1" ht="42.75" customHeight="1" x14ac:dyDescent="0.2">
      <c r="B27" s="6"/>
      <c r="C27" s="241"/>
      <c r="D27" s="235" t="str">
        <f>IFERROR(C128,"")</f>
        <v/>
      </c>
      <c r="E27" s="235"/>
      <c r="F27" s="22">
        <f>IFERROR(+HLOOKUP("OUI",bd,35,FALSE),0)</f>
        <v>0</v>
      </c>
      <c r="G27" s="236" t="str">
        <f>IF(D27="","",+"Détail : [Total Salaire (hors indemnités) X 10 / 100 X ( jours restants / jrs acquis) ] "&amp;HLOOKUP("OUI",bd,41,FALSE))</f>
        <v/>
      </c>
      <c r="H27" s="236"/>
      <c r="AN27" s="88">
        <v>26</v>
      </c>
      <c r="AO27" s="88" t="s">
        <v>47</v>
      </c>
      <c r="AP27" s="88"/>
      <c r="AQ27" s="88"/>
      <c r="AR27" s="88"/>
      <c r="AS27" s="94">
        <f t="shared" si="15"/>
        <v>0</v>
      </c>
      <c r="AT27" s="94">
        <f t="shared" si="16"/>
        <v>0</v>
      </c>
      <c r="AU27" s="94">
        <f t="shared" si="17"/>
        <v>0</v>
      </c>
    </row>
    <row r="28" spans="2:47" s="8" customFormat="1" ht="67.5" customHeight="1" x14ac:dyDescent="0.2">
      <c r="B28" s="6"/>
      <c r="C28" s="241"/>
      <c r="D28" s="235" t="str">
        <f>IFERROR(C152,"")</f>
        <v/>
      </c>
      <c r="E28" s="235"/>
      <c r="F28" s="22">
        <f>IFERROR(+HLOOKUP("OUI",bd,36,FALSE),0)</f>
        <v>0</v>
      </c>
      <c r="G28" s="236" t="str">
        <f>IF(D28="","",+"Détail : [Total Salaire (hors indemnités) X 10 / 100 X ( jours restants / jrs acquis) ] "&amp;HLOOKUP("OUI",bd,42,FALSE))</f>
        <v/>
      </c>
      <c r="H28" s="236"/>
      <c r="AN28" s="88">
        <v>27</v>
      </c>
      <c r="AO28" s="88" t="s">
        <v>48</v>
      </c>
      <c r="AP28" s="88"/>
      <c r="AQ28" s="88"/>
      <c r="AR28" s="88"/>
      <c r="AS28" s="88"/>
      <c r="AT28" s="94">
        <f t="shared" si="16"/>
        <v>0</v>
      </c>
      <c r="AU28" s="94">
        <f t="shared" si="17"/>
        <v>0</v>
      </c>
    </row>
    <row r="29" spans="2:47" s="8" customFormat="1" ht="42" customHeight="1" x14ac:dyDescent="0.2">
      <c r="B29" s="6"/>
      <c r="C29" s="241"/>
      <c r="D29" s="228" t="s">
        <v>108</v>
      </c>
      <c r="E29" s="228"/>
      <c r="F29" s="22">
        <f>ROUND(+G37+G38,2)</f>
        <v>0</v>
      </c>
      <c r="G29" s="24"/>
      <c r="H29" s="24"/>
      <c r="AN29" s="88">
        <v>28</v>
      </c>
      <c r="AO29" s="88" t="s">
        <v>50</v>
      </c>
      <c r="AP29" s="88"/>
      <c r="AQ29" s="88"/>
      <c r="AR29" s="88"/>
      <c r="AS29" s="88"/>
      <c r="AT29" s="88"/>
      <c r="AU29" s="94">
        <f t="shared" si="17"/>
        <v>0</v>
      </c>
    </row>
    <row r="30" spans="2:47" s="8" customFormat="1" ht="42.75" customHeight="1" x14ac:dyDescent="0.2">
      <c r="B30" s="6"/>
      <c r="C30" s="242"/>
      <c r="D30" s="237" t="s">
        <v>49</v>
      </c>
      <c r="E30" s="237"/>
      <c r="F30" s="23">
        <f>SUM(F23:F29)</f>
        <v>0</v>
      </c>
      <c r="G30" s="24"/>
      <c r="H30" s="24"/>
      <c r="AN30" s="88">
        <v>29</v>
      </c>
      <c r="AO30" s="88" t="s">
        <v>51</v>
      </c>
      <c r="AP30" s="94">
        <f>+AP24</f>
        <v>0</v>
      </c>
      <c r="AQ30" s="94">
        <f>+AQ25</f>
        <v>0</v>
      </c>
      <c r="AR30" s="94">
        <f>+AR26</f>
        <v>0</v>
      </c>
      <c r="AS30" s="94">
        <f>+AS27</f>
        <v>0</v>
      </c>
      <c r="AT30" s="94">
        <f>+AT28</f>
        <v>0</v>
      </c>
      <c r="AU30" s="94">
        <f>+AU29</f>
        <v>0</v>
      </c>
    </row>
    <row r="31" spans="2:47" s="8" customFormat="1" ht="26.25" thickBot="1" x14ac:dyDescent="0.25">
      <c r="B31" s="6"/>
      <c r="F31" s="6" t="e">
        <f>+IF(K2="BRUT",ROUND(F32*K3,2),F32)</f>
        <v>#N/A</v>
      </c>
      <c r="AN31" s="88">
        <v>30</v>
      </c>
      <c r="AO31" s="98" t="s">
        <v>52</v>
      </c>
      <c r="AP31" s="94">
        <f t="shared" ref="AP31:AU31" si="18">SUM(AP24:AP29)</f>
        <v>0</v>
      </c>
      <c r="AQ31" s="94">
        <f t="shared" si="18"/>
        <v>0</v>
      </c>
      <c r="AR31" s="94">
        <f t="shared" si="18"/>
        <v>0</v>
      </c>
      <c r="AS31" s="94">
        <f t="shared" si="18"/>
        <v>0</v>
      </c>
      <c r="AT31" s="94">
        <f t="shared" si="18"/>
        <v>0</v>
      </c>
      <c r="AU31" s="94">
        <f t="shared" si="18"/>
        <v>0</v>
      </c>
    </row>
    <row r="32" spans="2:47" s="8" customFormat="1" ht="38.25" customHeight="1" thickBot="1" x14ac:dyDescent="0.25">
      <c r="B32" s="6"/>
      <c r="C32" s="214" t="str">
        <f>+"On prends le montant le plus avantageux pour le salarié "&amp;IF(K2="BRUT","(en BRUT) :","(en NET) :")</f>
        <v>On prends le montant le plus avantageux pour le salarié (en BRUT) :</v>
      </c>
      <c r="D32" s="214"/>
      <c r="E32" s="214"/>
      <c r="F32" s="25" t="e">
        <f>+MAX(F21,F30)</f>
        <v>#N/A</v>
      </c>
      <c r="G32" s="238" t="e">
        <f>+IF(K2="BRUT","Soit en net : "&amp;F31&amp;" €","")</f>
        <v>#N/A</v>
      </c>
      <c r="H32" s="238"/>
      <c r="AN32" s="88">
        <v>31</v>
      </c>
      <c r="AO32" s="88" t="s">
        <v>53</v>
      </c>
      <c r="AP32" s="89" t="str">
        <f t="shared" ref="AP32:AU32" si="19">+IF(AP2="OUI",ROUND(AP3*0.1*AP24/AP10,2),"")</f>
        <v/>
      </c>
      <c r="AQ32" s="89" t="str">
        <f t="shared" si="19"/>
        <v/>
      </c>
      <c r="AR32" s="89" t="str">
        <f t="shared" si="19"/>
        <v/>
      </c>
      <c r="AS32" s="89" t="str">
        <f t="shared" si="19"/>
        <v/>
      </c>
      <c r="AT32" s="89" t="str">
        <f t="shared" si="19"/>
        <v/>
      </c>
      <c r="AU32" s="89" t="str">
        <f t="shared" si="19"/>
        <v/>
      </c>
    </row>
    <row r="33" spans="1:47" s="8" customFormat="1" ht="12.75" x14ac:dyDescent="0.2">
      <c r="B33" s="6"/>
      <c r="C33" s="215"/>
      <c r="D33" s="239"/>
      <c r="E33" s="239"/>
      <c r="F33" s="239"/>
      <c r="AN33" s="88">
        <v>32</v>
      </c>
      <c r="AO33" s="88" t="s">
        <v>57</v>
      </c>
      <c r="AP33" s="89"/>
      <c r="AQ33" s="89" t="str">
        <f>+IF(AQ2="OUI",ROUND(AQ4*0.1*AQ25/AQ11,2),"")</f>
        <v/>
      </c>
      <c r="AR33" s="89" t="str">
        <f>+IF(AR2="OUI",ROUND(AR4*0.1*AR25/AR11,2),"")</f>
        <v/>
      </c>
      <c r="AS33" s="89" t="str">
        <f>+IF(AS2="OUI",ROUND(AS4*0.1*AS25/AS11,2),"")</f>
        <v/>
      </c>
      <c r="AT33" s="89" t="str">
        <f>+IF(AT2="OUI",ROUND(AT4*0.1*AT25/AT11,2),"")</f>
        <v/>
      </c>
      <c r="AU33" s="89" t="str">
        <f>+IF(AU2="OUI",ROUND(AU4*0.1*AU25/AU11,2),"")</f>
        <v/>
      </c>
    </row>
    <row r="34" spans="1:47" s="8" customFormat="1" ht="52.5" customHeight="1" x14ac:dyDescent="0.2">
      <c r="B34" s="6"/>
      <c r="C34" s="26"/>
      <c r="D34" s="27" t="s">
        <v>54</v>
      </c>
      <c r="E34" s="28" t="s">
        <v>55</v>
      </c>
      <c r="F34" s="27" t="s">
        <v>56</v>
      </c>
      <c r="G34" s="27" t="str">
        <f>+IF(K2="BRUT","Salaire brut Année en cours (hors indemnités)","Salaire net Année en cours (hors indemnités)")</f>
        <v>Salaire brut Année en cours (hors indemnités)</v>
      </c>
      <c r="AN34" s="88">
        <v>33</v>
      </c>
      <c r="AO34" s="88" t="s">
        <v>58</v>
      </c>
      <c r="AP34" s="89"/>
      <c r="AQ34" s="89"/>
      <c r="AR34" s="89" t="str">
        <f>+IF(AR2="OUI",ROUND(AR5*0.1*AR26/AR12,2),"")</f>
        <v/>
      </c>
      <c r="AS34" s="89" t="str">
        <f>+IF(AS2="OUI",ROUND(AS5*0.1*AS26/AS12,2),"")</f>
        <v/>
      </c>
      <c r="AT34" s="89" t="str">
        <f>+IF(AT2="OUI",ROUND(AT5*0.1*AT26/AT12,2),"")</f>
        <v/>
      </c>
      <c r="AU34" s="89" t="str">
        <f>+IF(AU2="OUI",ROUND(AU5*0.1*AU26/AU12,2),"")</f>
        <v/>
      </c>
    </row>
    <row r="35" spans="1:47" s="8" customFormat="1" ht="34.5" customHeight="1" x14ac:dyDescent="0.2">
      <c r="B35" s="6"/>
      <c r="C35" s="29" t="s">
        <v>2</v>
      </c>
      <c r="D35" s="30" t="e">
        <f>+D40+D38+D37</f>
        <v>#N/A</v>
      </c>
      <c r="E35" s="31" t="e">
        <f>+HLOOKUP("OUI",bd,22,FALSE)</f>
        <v>#N/A</v>
      </c>
      <c r="F35" s="32" t="e">
        <f>+D35-E35</f>
        <v>#N/A</v>
      </c>
      <c r="G35" s="33" t="e">
        <f>+HLOOKUP("OUI",bd,8,FALSE)</f>
        <v>#N/A</v>
      </c>
      <c r="AN35" s="88">
        <v>34</v>
      </c>
      <c r="AO35" s="88" t="s">
        <v>59</v>
      </c>
      <c r="AP35" s="89"/>
      <c r="AQ35" s="89"/>
      <c r="AR35" s="89"/>
      <c r="AS35" s="89" t="str">
        <f>+IF(AS2="OUI",ROUND(AS6*0.1*AS27/AS13,2),"")</f>
        <v/>
      </c>
      <c r="AT35" s="89" t="str">
        <f>+IF(AT2="OUI",ROUND(AT6*0.1*AT27/AT13,2),"")</f>
        <v/>
      </c>
      <c r="AU35" s="89" t="str">
        <f>+IF(AU2="OUI",ROUND(AU6*0.1*AU27/AU13,2),"")</f>
        <v/>
      </c>
    </row>
    <row r="36" spans="1:47" s="8" customFormat="1" ht="7.5" customHeight="1" x14ac:dyDescent="0.2">
      <c r="B36" s="6"/>
      <c r="C36" s="99"/>
      <c r="D36" s="100"/>
      <c r="E36" s="100"/>
      <c r="AN36" s="88">
        <v>35</v>
      </c>
      <c r="AO36" s="88" t="s">
        <v>62</v>
      </c>
      <c r="AP36" s="89"/>
      <c r="AQ36" s="89"/>
      <c r="AR36" s="89"/>
      <c r="AS36" s="89"/>
      <c r="AT36" s="89" t="str">
        <f>+IF(AT2="OUI",ROUND(AT7*0.1*AT28/AT14,2),"")</f>
        <v/>
      </c>
      <c r="AU36" s="89" t="str">
        <f>+IF(AU2="OUI",ROUND(AU7*0.1*AU28/AU14,2),"")</f>
        <v/>
      </c>
    </row>
    <row r="37" spans="1:47" s="8" customFormat="1" ht="25.5" customHeight="1" x14ac:dyDescent="0.2">
      <c r="B37" s="6"/>
      <c r="C37" s="95" t="s">
        <v>60</v>
      </c>
      <c r="D37" s="101"/>
      <c r="F37" s="102" t="s">
        <v>61</v>
      </c>
      <c r="G37" s="92">
        <f>IFERROR(ROUND(+G35/D40*D37*0.1,2),0)</f>
        <v>0</v>
      </c>
      <c r="H37" s="24" t="e">
        <f>+"Détail : Salaire X 0,1 / jrs acquis sans enfants  X nbre de jrs fact. = "&amp;G35&amp;" € X 0,1 / "&amp;F40&amp;" jrs X "&amp;D37&amp;" jrs"</f>
        <v>#N/A</v>
      </c>
      <c r="AN37" s="88">
        <v>36</v>
      </c>
      <c r="AO37" s="88" t="s">
        <v>65</v>
      </c>
      <c r="AP37" s="89"/>
      <c r="AQ37" s="89"/>
      <c r="AR37" s="89"/>
      <c r="AS37" s="89"/>
      <c r="AT37" s="89"/>
      <c r="AU37" s="89" t="str">
        <f>+IF(AU2="OUI",ROUND(AU8*0.1*AU15/AU15,2),"")</f>
        <v/>
      </c>
    </row>
    <row r="38" spans="1:47" s="8" customFormat="1" ht="42" customHeight="1" x14ac:dyDescent="0.2">
      <c r="B38" s="6"/>
      <c r="C38" s="103" t="s">
        <v>63</v>
      </c>
      <c r="D38" s="101"/>
      <c r="E38" s="34" t="e">
        <f>+IF(D40+D38&gt;30,"ERREUR jours enfants","")</f>
        <v>#N/A</v>
      </c>
      <c r="F38" s="102" t="s">
        <v>64</v>
      </c>
      <c r="G38" s="92">
        <f>IFERROR(ROUND(+G35/D40*D38*0.1,2),0)</f>
        <v>0</v>
      </c>
      <c r="H38" s="24" t="e">
        <f>+"Détail : Salaire X 0,1 / jrs acquis sans enfants X nbre de jrs enfant = "&amp;G35&amp;" € X 0,1 / "&amp;D40&amp;" jrs X "&amp;D38&amp;" jrs"</f>
        <v>#N/A</v>
      </c>
      <c r="AN38" s="88">
        <v>37</v>
      </c>
      <c r="AO38" s="88" t="s">
        <v>66</v>
      </c>
      <c r="AP38" s="88" t="str">
        <f t="shared" ref="AP38:AU38" si="20">+IF(AP2="OUI","= ["&amp;AP3&amp;" € X 0,10 X "&amp;AP24&amp;" jrs / "&amp;AP10&amp;" jrs]","")</f>
        <v/>
      </c>
      <c r="AQ38" s="88" t="str">
        <f t="shared" si="20"/>
        <v/>
      </c>
      <c r="AR38" s="88" t="str">
        <f t="shared" si="20"/>
        <v/>
      </c>
      <c r="AS38" s="88" t="str">
        <f t="shared" si="20"/>
        <v/>
      </c>
      <c r="AT38" s="88" t="str">
        <f t="shared" si="20"/>
        <v/>
      </c>
      <c r="AU38" s="88" t="str">
        <f t="shared" si="20"/>
        <v/>
      </c>
    </row>
    <row r="39" spans="1:47" s="8" customFormat="1" ht="6" customHeight="1" x14ac:dyDescent="0.2">
      <c r="B39" s="6"/>
      <c r="C39" s="99"/>
      <c r="D39" s="104"/>
      <c r="E39" s="100"/>
      <c r="F39" s="105"/>
      <c r="G39" s="106"/>
      <c r="AN39" s="88">
        <v>38</v>
      </c>
      <c r="AO39" s="88" t="s">
        <v>70</v>
      </c>
      <c r="AP39" s="88"/>
      <c r="AQ39" s="88" t="str">
        <f>+IF(AQ2="OUI","= ["&amp;AQ4&amp;" € X 0,10 X "&amp;AQ25&amp;" jrs / "&amp;AQ11&amp;" jrs]","")</f>
        <v/>
      </c>
      <c r="AR39" s="88" t="str">
        <f>+IF(AR2="OUI","= ["&amp;AR4&amp;" € X 0,10 X "&amp;AR25&amp;" jrs / "&amp;AR11&amp;" jrs]","")</f>
        <v/>
      </c>
      <c r="AS39" s="88" t="str">
        <f>+IF(AS2="OUI","= ["&amp;AS4&amp;" € X 0,10 X "&amp;AS25&amp;" jrs / "&amp;AS11&amp;" jrs]","")</f>
        <v/>
      </c>
      <c r="AT39" s="88" t="str">
        <f>+IF(AT2="OUI","= ["&amp;AT4&amp;" € X 0,10 X "&amp;AT25&amp;" jrs / "&amp;AT11&amp;" jrs]","")</f>
        <v/>
      </c>
      <c r="AU39" s="88" t="str">
        <f>+IF(AU2="OUI","= ["&amp;AU4&amp;" € X 0,10 X "&amp;AU25&amp;" jrs / "&amp;AU11&amp;" jrs]","")</f>
        <v/>
      </c>
    </row>
    <row r="40" spans="1:47" s="8" customFormat="1" ht="24.75" customHeight="1" x14ac:dyDescent="0.2">
      <c r="B40" s="6"/>
      <c r="C40" s="29" t="s">
        <v>67</v>
      </c>
      <c r="D40" s="30" t="e">
        <f>+HLOOKUP("OUI",bd,15,FALSE)</f>
        <v>#N/A</v>
      </c>
      <c r="E40" s="99" t="s">
        <v>68</v>
      </c>
      <c r="F40" s="30" t="e">
        <f>+D40-E35</f>
        <v>#N/A</v>
      </c>
      <c r="G40" s="106"/>
      <c r="J40" s="230" t="s">
        <v>69</v>
      </c>
      <c r="K40" s="230"/>
      <c r="L40" s="230"/>
      <c r="M40" s="230"/>
      <c r="N40" s="230"/>
      <c r="AN40" s="88">
        <v>39</v>
      </c>
      <c r="AO40" s="88" t="s">
        <v>71</v>
      </c>
      <c r="AP40" s="88"/>
      <c r="AQ40" s="88"/>
      <c r="AR40" s="88" t="str">
        <f>+IF(AR2="OUI","= ["&amp;AR5&amp;" € X 0,10 X "&amp;AR26&amp;" jrs / "&amp;AR12&amp;" jrs]","")</f>
        <v/>
      </c>
      <c r="AS40" s="88" t="str">
        <f>+IF(AS2="OUI","= ["&amp;AS5&amp;" € X 0,10 X "&amp;AS26&amp;" jrs / "&amp;AS12&amp;" jrs]","")</f>
        <v/>
      </c>
      <c r="AT40" s="88" t="str">
        <f>+IF(AT2="OUI","= ["&amp;AT5&amp;" € X 0,10 X "&amp;AT26&amp;" jrs / "&amp;AT12&amp;" jrs]","")</f>
        <v/>
      </c>
      <c r="AU40" s="88" t="str">
        <f>+IF(AU2="OUI","= ["&amp;AU5&amp;" € X 0,10 X "&amp;AU26&amp;" jrs / "&amp;AU12&amp;" jrs]","")</f>
        <v/>
      </c>
    </row>
    <row r="41" spans="1:47" s="8" customFormat="1" ht="24.75" customHeight="1" x14ac:dyDescent="0.2">
      <c r="B41" s="6"/>
      <c r="C41" s="107"/>
      <c r="D41" s="35"/>
      <c r="E41" s="99"/>
      <c r="F41" s="35"/>
      <c r="G41" s="106"/>
      <c r="AN41" s="88">
        <v>40</v>
      </c>
      <c r="AO41" s="88" t="s">
        <v>78</v>
      </c>
      <c r="AP41" s="88"/>
      <c r="AQ41" s="88"/>
      <c r="AR41" s="88"/>
      <c r="AS41" s="88" t="str">
        <f>+IF(AS2="OUI","= ["&amp;AS6&amp;" € X 0,10 X "&amp;AS27&amp;" jrs / "&amp;AS13&amp;" jrs]","")</f>
        <v/>
      </c>
      <c r="AT41" s="88" t="str">
        <f>+IF(AT2="OUI","= ["&amp;AT6&amp;" € X 0,10 X "&amp;AT27&amp;" jrs / "&amp;AT13&amp;" jrs]","")</f>
        <v/>
      </c>
      <c r="AU41" s="88" t="str">
        <f>+IF(AU2="OUI","= ["&amp;AU6&amp;" € X 0,10 X "&amp;AU27&amp;" jrs / "&amp;AU13&amp;" jrs]","")</f>
        <v/>
      </c>
    </row>
    <row r="42" spans="1:47" s="8" customFormat="1" ht="76.5" x14ac:dyDescent="0.2">
      <c r="B42" s="6"/>
      <c r="C42" s="27" t="str">
        <f>"Période : "&amp;CHAR(10)&amp;PROPER(+TEXT(D15,"mmmm"))&amp;" "&amp;YEAR(D15)&amp;" à "&amp;IF(D17&gt;=B54,C54,PROPER(+TEXT(D17,"mmmm"))&amp;" "&amp;YEAR(D17))</f>
        <v xml:space="preserve">Période : 
Janvier 1900 à </v>
      </c>
      <c r="D42" s="27" t="s">
        <v>72</v>
      </c>
      <c r="E42" s="28" t="s">
        <v>73</v>
      </c>
      <c r="F42" s="105"/>
      <c r="G42" s="27" t="str">
        <f>IF(K2="BRUT","Salaires bruts de l'année (hors indemnités)","Salaires nets de l'année (hors indemnités)")</f>
        <v>Salaires bruts de l'année (hors indemnités)</v>
      </c>
      <c r="H42" s="27" t="s">
        <v>74</v>
      </c>
      <c r="J42" s="98" t="s">
        <v>75</v>
      </c>
      <c r="K42" s="98" t="s">
        <v>76</v>
      </c>
      <c r="M42" s="98" t="str">
        <f>+IF(K2="BRUT","80% des Salaires bruts correspondants à l'arrêt de maladie","80% des Salaires nets correspondants à l'arrêt de maladie")</f>
        <v>80% des Salaires bruts correspondants à l'arrêt de maladie</v>
      </c>
      <c r="AB42" s="108" t="s">
        <v>77</v>
      </c>
      <c r="AN42" s="88">
        <v>41</v>
      </c>
      <c r="AO42" s="88" t="s">
        <v>79</v>
      </c>
      <c r="AP42" s="88"/>
      <c r="AQ42" s="88"/>
      <c r="AR42" s="88"/>
      <c r="AS42" s="88"/>
      <c r="AT42" s="88" t="str">
        <f>+IF(AT2="OUI","= ["&amp;AT7&amp;" € X 0,10 X "&amp;AT28&amp;" jrs / "&amp;AT14&amp;" jrs]","")</f>
        <v/>
      </c>
      <c r="AU42" s="88" t="str">
        <f>+IF(AU2="OUI","= ["&amp;AU7&amp;" € X 0,10 X "&amp;AU28&amp;" jrs / "&amp;AU14&amp;" jrs]","")</f>
        <v/>
      </c>
    </row>
    <row r="43" spans="1:47" s="8" customFormat="1" ht="14.25" customHeight="1" x14ac:dyDescent="0.2">
      <c r="A43" s="36">
        <f>IF((DATE(YEAR($D$15),MONTH($D$15),DAY($D$15)))&lt;(DATE(YEAR($D$15),6,1)),(DATE(YEAR($D$15)-1,6,1)),(DATE(YEAR($D$15),6,1)))</f>
        <v>693749</v>
      </c>
      <c r="B43" s="1">
        <f>IF((DATE(YEAR($D$15),MONTH($D$15),DAY($D$15)))&lt;(DATE(YEAR($D$15),6,1)),(DATE(YEAR($D$15)-1,6,1)),(DATE(YEAR($D$15),6,1)))</f>
        <v>693749</v>
      </c>
      <c r="C43" s="88" t="str">
        <f>+IF(B43="","","Juin"&amp;" "&amp;YEAR(B43))</f>
        <v>Juin 3799</v>
      </c>
      <c r="D43" s="101"/>
      <c r="E43" s="37"/>
      <c r="G43" s="109"/>
      <c r="H43" s="110"/>
      <c r="J43" s="88" t="str">
        <f>+C43</f>
        <v>Juin 3799</v>
      </c>
      <c r="K43" s="101"/>
      <c r="M43" s="109"/>
      <c r="AB43" s="8" t="str">
        <f>IF(B43="","NON",+IF(AND(DATE(YEAR(B43),MONTH(B43),1)&gt;=DATE(YEAR($D$15),MONTH($D$15),1),DATE(YEAR(B43),MONTH(B43),1)&lt;=DATE(YEAR($D$17),MONTH($D$17),1)),"OUI","NON"))</f>
        <v>NON</v>
      </c>
      <c r="AN43" s="88">
        <v>42</v>
      </c>
      <c r="AO43" s="88" t="s">
        <v>80</v>
      </c>
      <c r="AP43" s="88"/>
      <c r="AQ43" s="88"/>
      <c r="AR43" s="88"/>
      <c r="AS43" s="88"/>
      <c r="AT43" s="88"/>
      <c r="AU43" s="88" t="str">
        <f>+IF(AU2="OUI","= ["&amp;AU8&amp;" € X 0,10 X "&amp;AU29&amp;" jrs / "&amp;AU15&amp;" jrs]","")</f>
        <v/>
      </c>
    </row>
    <row r="44" spans="1:47" s="8" customFormat="1" ht="13.5" customHeight="1" x14ac:dyDescent="0.2">
      <c r="A44" s="36">
        <f>+EDATE(A43,1)</f>
        <v>693779</v>
      </c>
      <c r="B44" s="1" t="str">
        <f>IF($B$43="","",IF(EDATE($B$43,1)&lt;=$D$17,EDATE($B$43,1),""))</f>
        <v/>
      </c>
      <c r="C44" s="88" t="str">
        <f>+IF(B44="","","Juillet"&amp;" "&amp;YEAR(B44))</f>
        <v/>
      </c>
      <c r="D44" s="101"/>
      <c r="E44" s="37"/>
      <c r="G44" s="109"/>
      <c r="H44" s="110"/>
      <c r="J44" s="88" t="str">
        <f t="shared" ref="J44:J54" si="21">+C44</f>
        <v/>
      </c>
      <c r="K44" s="101"/>
      <c r="M44" s="109"/>
      <c r="AB44" s="8" t="str">
        <f t="shared" ref="AB44:AB54" si="22">IF(B44="","NON",+IF(AND(DATE(YEAR(B44),MONTH(B44),1)&gt;=DATE(YEAR($D$15),MONTH($D$15),1),DATE(YEAR(B44),MONTH(B44),1)&lt;=DATE(YEAR($D$17),MONTH($D$17),1)),"OUI","NON"))</f>
        <v>NON</v>
      </c>
      <c r="AN44" s="111"/>
      <c r="AO44" s="111"/>
      <c r="AP44" s="111"/>
      <c r="AQ44" s="111"/>
      <c r="AR44" s="111"/>
      <c r="AS44" s="111"/>
      <c r="AT44" s="111"/>
    </row>
    <row r="45" spans="1:47" s="8" customFormat="1" ht="13.5" customHeight="1" x14ac:dyDescent="0.2">
      <c r="A45" s="36">
        <f t="shared" ref="A45:A54" si="23">+EDATE(A44,1)</f>
        <v>693810</v>
      </c>
      <c r="B45" s="1" t="str">
        <f>IF($B$44="","",IF(EDATE($B$44,1)&lt;=$D$17,EDATE($B$44,1),""))</f>
        <v/>
      </c>
      <c r="C45" s="88" t="str">
        <f>+IF(B45="","","Aout"&amp;" "&amp;YEAR(B45))</f>
        <v/>
      </c>
      <c r="D45" s="101"/>
      <c r="E45" s="37"/>
      <c r="G45" s="109"/>
      <c r="H45" s="110"/>
      <c r="J45" s="88" t="str">
        <f t="shared" si="21"/>
        <v/>
      </c>
      <c r="K45" s="101"/>
      <c r="M45" s="109"/>
      <c r="AB45" s="8" t="str">
        <f t="shared" si="22"/>
        <v>NON</v>
      </c>
      <c r="AN45" s="111"/>
      <c r="AO45" s="111"/>
      <c r="AP45" s="111"/>
      <c r="AQ45" s="111"/>
      <c r="AR45" s="111"/>
      <c r="AS45" s="111"/>
      <c r="AT45" s="111"/>
      <c r="AU45" s="111"/>
    </row>
    <row r="46" spans="1:47" s="8" customFormat="1" ht="13.5" customHeight="1" x14ac:dyDescent="0.2">
      <c r="A46" s="36">
        <f t="shared" si="23"/>
        <v>693841</v>
      </c>
      <c r="B46" s="1" t="str">
        <f>IF($B$45="","",IF(EDATE($B$45,1)&lt;=$D$17,EDATE($B$45,1),""))</f>
        <v/>
      </c>
      <c r="C46" s="88" t="str">
        <f>+IF(B46="","","Septembre"&amp;" "&amp;YEAR(B46))</f>
        <v/>
      </c>
      <c r="D46" s="101"/>
      <c r="E46" s="37"/>
      <c r="G46" s="109"/>
      <c r="H46" s="110"/>
      <c r="J46" s="88" t="str">
        <f t="shared" si="21"/>
        <v/>
      </c>
      <c r="K46" s="101"/>
      <c r="M46" s="109"/>
      <c r="AB46" s="8" t="str">
        <f t="shared" si="22"/>
        <v>NON</v>
      </c>
      <c r="AN46" s="111"/>
      <c r="AO46" s="111"/>
      <c r="AP46" s="111"/>
      <c r="AQ46" s="111"/>
      <c r="AR46" s="111"/>
      <c r="AS46" s="111"/>
      <c r="AT46" s="111"/>
      <c r="AU46" s="111"/>
    </row>
    <row r="47" spans="1:47" s="8" customFormat="1" ht="13.5" customHeight="1" x14ac:dyDescent="0.2">
      <c r="A47" s="36">
        <f t="shared" si="23"/>
        <v>693871</v>
      </c>
      <c r="B47" s="1" t="str">
        <f>IF($B$46="","",IF(EDATE($B$46,1)&lt;=$D$17,EDATE($B$46,1),""))</f>
        <v/>
      </c>
      <c r="C47" s="88" t="str">
        <f>+IF(B47="","","Octobre"&amp;" "&amp;YEAR(B47))</f>
        <v/>
      </c>
      <c r="D47" s="101"/>
      <c r="E47" s="37"/>
      <c r="G47" s="109"/>
      <c r="H47" s="110"/>
      <c r="J47" s="88" t="str">
        <f t="shared" si="21"/>
        <v/>
      </c>
      <c r="K47" s="101"/>
      <c r="M47" s="109"/>
      <c r="AB47" s="8" t="str">
        <f t="shared" si="22"/>
        <v>NON</v>
      </c>
      <c r="AN47" s="111"/>
      <c r="AO47" s="111"/>
      <c r="AP47" s="111"/>
      <c r="AQ47" s="111"/>
      <c r="AR47" s="111"/>
      <c r="AS47" s="111"/>
      <c r="AT47" s="111"/>
      <c r="AU47" s="111"/>
    </row>
    <row r="48" spans="1:47" s="8" customFormat="1" ht="13.5" customHeight="1" x14ac:dyDescent="0.2">
      <c r="A48" s="36">
        <f t="shared" si="23"/>
        <v>693902</v>
      </c>
      <c r="B48" s="1" t="str">
        <f>IF($B$47="","",IF(EDATE($B$47,1)&lt;=$D$17,EDATE($B$47,1),""))</f>
        <v/>
      </c>
      <c r="C48" s="88" t="str">
        <f>+IF(B48="","","Novembre"&amp;" "&amp;YEAR(B48))</f>
        <v/>
      </c>
      <c r="D48" s="101"/>
      <c r="E48" s="37"/>
      <c r="G48" s="109"/>
      <c r="H48" s="110"/>
      <c r="J48" s="88" t="str">
        <f t="shared" si="21"/>
        <v/>
      </c>
      <c r="K48" s="101"/>
      <c r="M48" s="109"/>
      <c r="AB48" s="8" t="str">
        <f t="shared" si="22"/>
        <v>NON</v>
      </c>
      <c r="AN48" s="111"/>
      <c r="AO48" s="111"/>
      <c r="AP48" s="111"/>
      <c r="AQ48" s="111"/>
      <c r="AR48" s="111"/>
      <c r="AS48" s="111"/>
      <c r="AT48" s="111"/>
      <c r="AU48" s="111"/>
    </row>
    <row r="49" spans="1:29" s="8" customFormat="1" ht="13.5" customHeight="1" x14ac:dyDescent="0.2">
      <c r="A49" s="36">
        <f t="shared" si="23"/>
        <v>693932</v>
      </c>
      <c r="B49" s="1" t="str">
        <f>IF($B$48="","",IF(EDATE($B$48,1)&lt;=$D$17,EDATE($B$48,1),""))</f>
        <v/>
      </c>
      <c r="C49" s="88" t="str">
        <f>+IF(B49="","","Décembre"&amp;" "&amp;YEAR(B49))</f>
        <v/>
      </c>
      <c r="D49" s="101"/>
      <c r="E49" s="37"/>
      <c r="G49" s="109"/>
      <c r="H49" s="110"/>
      <c r="J49" s="88" t="str">
        <f t="shared" si="21"/>
        <v/>
      </c>
      <c r="K49" s="101"/>
      <c r="M49" s="109"/>
      <c r="AB49" s="8" t="str">
        <f t="shared" si="22"/>
        <v>NON</v>
      </c>
    </row>
    <row r="50" spans="1:29" s="8" customFormat="1" ht="13.5" customHeight="1" x14ac:dyDescent="0.2">
      <c r="A50" s="36">
        <f t="shared" si="23"/>
        <v>693963</v>
      </c>
      <c r="B50" s="1" t="str">
        <f>IF($B$49="","",IF(EDATE($B$49,1)&lt;=$D$17,EDATE($B$49,1),""))</f>
        <v/>
      </c>
      <c r="C50" s="88" t="str">
        <f>+IF(B50="","","Janvier"&amp;" "&amp;YEAR(B50))</f>
        <v/>
      </c>
      <c r="D50" s="101"/>
      <c r="E50" s="37"/>
      <c r="G50" s="109"/>
      <c r="H50" s="110"/>
      <c r="J50" s="88" t="str">
        <f t="shared" si="21"/>
        <v/>
      </c>
      <c r="K50" s="101"/>
      <c r="M50" s="109"/>
      <c r="AB50" s="8" t="str">
        <f t="shared" si="22"/>
        <v>NON</v>
      </c>
    </row>
    <row r="51" spans="1:29" s="8" customFormat="1" ht="13.5" customHeight="1" x14ac:dyDescent="0.2">
      <c r="A51" s="36">
        <f t="shared" si="23"/>
        <v>693994</v>
      </c>
      <c r="B51" s="1" t="str">
        <f>IF($B$50="","",IF(EDATE($B$50,1)&lt;=$D$17,EDATE($B$50,1),""))</f>
        <v/>
      </c>
      <c r="C51" s="88" t="str">
        <f>+IF(B51="","","Février"&amp;" "&amp;YEAR(B51))</f>
        <v/>
      </c>
      <c r="D51" s="101"/>
      <c r="E51" s="37"/>
      <c r="G51" s="109"/>
      <c r="H51" s="110"/>
      <c r="J51" s="88" t="str">
        <f t="shared" si="21"/>
        <v/>
      </c>
      <c r="K51" s="101"/>
      <c r="M51" s="109"/>
      <c r="AB51" s="8" t="str">
        <f t="shared" si="22"/>
        <v>NON</v>
      </c>
    </row>
    <row r="52" spans="1:29" s="8" customFormat="1" ht="13.5" customHeight="1" x14ac:dyDescent="0.2">
      <c r="A52" s="36">
        <f t="shared" si="23"/>
        <v>694022</v>
      </c>
      <c r="B52" s="1" t="str">
        <f>IF($B$51="","",IF(EDATE($B$51,1)&lt;=$D$17,EDATE($B$51,1),""))</f>
        <v/>
      </c>
      <c r="C52" s="88" t="str">
        <f>+IF(B52="","","Mars"&amp;" "&amp;YEAR(B52))</f>
        <v/>
      </c>
      <c r="D52" s="101"/>
      <c r="E52" s="37"/>
      <c r="G52" s="109"/>
      <c r="H52" s="110"/>
      <c r="J52" s="88" t="str">
        <f t="shared" si="21"/>
        <v/>
      </c>
      <c r="K52" s="101"/>
      <c r="M52" s="109"/>
      <c r="AB52" s="8" t="str">
        <f t="shared" si="22"/>
        <v>NON</v>
      </c>
    </row>
    <row r="53" spans="1:29" s="8" customFormat="1" ht="13.5" customHeight="1" x14ac:dyDescent="0.2">
      <c r="A53" s="36">
        <f t="shared" si="23"/>
        <v>694053</v>
      </c>
      <c r="B53" s="1" t="str">
        <f>IF($B$52="","",IF(EDATE($B$52,1)&lt;=$D$17,EDATE($B$52,1),""))</f>
        <v/>
      </c>
      <c r="C53" s="88" t="str">
        <f>+IF(B53="","","Avril"&amp;" "&amp;YEAR(B53))</f>
        <v/>
      </c>
      <c r="D53" s="101"/>
      <c r="E53" s="37"/>
      <c r="G53" s="109"/>
      <c r="H53" s="110"/>
      <c r="J53" s="88" t="str">
        <f t="shared" si="21"/>
        <v/>
      </c>
      <c r="K53" s="101"/>
      <c r="M53" s="109"/>
      <c r="AB53" s="8" t="str">
        <f t="shared" si="22"/>
        <v>NON</v>
      </c>
    </row>
    <row r="54" spans="1:29" s="8" customFormat="1" ht="13.5" customHeight="1" x14ac:dyDescent="0.2">
      <c r="A54" s="36">
        <f t="shared" si="23"/>
        <v>694083</v>
      </c>
      <c r="B54" s="1" t="str">
        <f>IF($B$53="","",IF(EDATE($B$53,1)&lt;=$D$17,EDATE($B$53,1),""))</f>
        <v/>
      </c>
      <c r="C54" s="88" t="str">
        <f>+IF(B54="","","Mai"&amp;" "&amp;YEAR(B54))</f>
        <v/>
      </c>
      <c r="D54" s="101"/>
      <c r="E54" s="37"/>
      <c r="G54" s="109"/>
      <c r="H54" s="110"/>
      <c r="J54" s="88" t="str">
        <f t="shared" si="21"/>
        <v/>
      </c>
      <c r="K54" s="101"/>
      <c r="M54" s="109"/>
      <c r="AB54" s="8" t="str">
        <f t="shared" si="22"/>
        <v>NON</v>
      </c>
      <c r="AC54" s="8" t="s">
        <v>81</v>
      </c>
    </row>
    <row r="55" spans="1:29" s="8" customFormat="1" ht="12.75" x14ac:dyDescent="0.2">
      <c r="A55" s="4"/>
      <c r="B55" s="6"/>
      <c r="C55" s="38" t="s">
        <v>82</v>
      </c>
      <c r="D55" s="39">
        <f>+K57</f>
        <v>0</v>
      </c>
      <c r="G55" s="40">
        <f>+M57</f>
        <v>0</v>
      </c>
    </row>
    <row r="56" spans="1:29" s="8" customFormat="1" ht="13.5" customHeight="1" x14ac:dyDescent="0.2">
      <c r="A56" s="36"/>
      <c r="B56" s="1"/>
      <c r="C56" s="41" t="s">
        <v>83</v>
      </c>
      <c r="D56" s="42"/>
      <c r="E56" s="203" t="str">
        <f>IF(ROUNDUP(SUM(D43:D55),0)+D56&gt;30,"Trop de jours enfants -15 ans","")</f>
        <v/>
      </c>
      <c r="G56" s="112">
        <f>+IF(D56&gt;0,SUM(G43:G55)/(ROUNDUP(SUM(D43:D55),0))*D56,0)</f>
        <v>0</v>
      </c>
      <c r="H56" s="113" t="str">
        <f>IF(G56&gt;0,"= "&amp;ROUND(SUM(G43:G55),2)&amp;" €  / "&amp;ROUNDUP(SUM(D43:D55),0)&amp;" jrs X "&amp;D56&amp;" jrs","")</f>
        <v/>
      </c>
      <c r="AC56" s="8" t="str">
        <f>+IF(C63="","NON","OUI")</f>
        <v>NON</v>
      </c>
    </row>
    <row r="57" spans="1:29" s="8" customFormat="1" ht="40.5" customHeight="1" thickBot="1" x14ac:dyDescent="0.25">
      <c r="A57" s="36"/>
      <c r="B57" s="1"/>
      <c r="C57" s="44" t="s">
        <v>84</v>
      </c>
      <c r="D57" s="45">
        <f>MIN(ROUNDUP(SUM(D43:D56),0),30)</f>
        <v>0</v>
      </c>
      <c r="E57" s="46">
        <f>SUM(E43:E54)</f>
        <v>0</v>
      </c>
      <c r="G57" s="47">
        <f>SUM(G43:G56)</f>
        <v>0</v>
      </c>
      <c r="H57" s="114"/>
      <c r="K57" s="39">
        <f>SUM(K43:K54)</f>
        <v>0</v>
      </c>
      <c r="M57" s="48">
        <f>SUM(M43:M54)</f>
        <v>0</v>
      </c>
    </row>
    <row r="58" spans="1:29" s="8" customFormat="1" ht="30" customHeight="1" thickBot="1" x14ac:dyDescent="0.25">
      <c r="A58" s="36"/>
      <c r="B58" s="1"/>
      <c r="C58" s="49" t="s">
        <v>85</v>
      </c>
      <c r="D58" s="50">
        <f>+D57</f>
        <v>0</v>
      </c>
      <c r="E58" s="51">
        <f>+E57</f>
        <v>0</v>
      </c>
      <c r="G58" s="52">
        <f>+G57</f>
        <v>0</v>
      </c>
      <c r="H58" s="114"/>
    </row>
    <row r="59" spans="1:29" s="8" customFormat="1" ht="13.5" customHeight="1" thickBot="1" x14ac:dyDescent="0.25">
      <c r="A59" s="36"/>
      <c r="B59" s="1"/>
      <c r="C59" s="231"/>
      <c r="D59" s="231"/>
      <c r="E59" s="115"/>
      <c r="G59" s="116"/>
      <c r="H59" s="114"/>
      <c r="I59" s="93"/>
      <c r="O59" s="117"/>
    </row>
    <row r="60" spans="1:29" s="8" customFormat="1" ht="13.5" customHeight="1" thickBot="1" x14ac:dyDescent="0.25">
      <c r="A60" s="36"/>
      <c r="B60" s="1"/>
      <c r="C60" s="232" t="str">
        <f>+"Pris (congés acquis : "&amp;PROPER(+TEXT(D15,"mmmm"))&amp;" "&amp;YEAR(D15)&amp;" à "&amp;IF(D17&gt;=B54,C54,PROPER(+TEXT(D17,"mmmm"))&amp;" "&amp;YEAR(D17))&amp;") :"</f>
        <v>Pris (congés acquis : Janvier 1900 à ) :</v>
      </c>
      <c r="D60" s="233"/>
      <c r="E60" s="53">
        <f>+E57</f>
        <v>0</v>
      </c>
      <c r="G60" s="54">
        <f>+D57-E57</f>
        <v>0</v>
      </c>
      <c r="H60" s="55" t="str">
        <f>"Reste à prendre (congés acquis : "&amp;PROPER(+TEXT(D15,"mmmm"))&amp;" "&amp;YEAR(D15)&amp;" à "&amp;IF(D17&gt;=B54,C54,PROPER(+TEXT(D17,"mmmm"))&amp;" "&amp;YEAR(D17))&amp;")"</f>
        <v>Reste à prendre (congés acquis : Janvier 1900 à )</v>
      </c>
      <c r="K60" s="13"/>
      <c r="L60" s="13"/>
      <c r="M60" s="13"/>
      <c r="AB60" s="8" t="s">
        <v>86</v>
      </c>
      <c r="AC60" s="8" t="str">
        <f>+AP2</f>
        <v>NON</v>
      </c>
    </row>
    <row r="61" spans="1:29" s="8" customFormat="1" ht="13.5" customHeight="1" x14ac:dyDescent="0.2">
      <c r="A61" s="36"/>
      <c r="B61" s="1"/>
      <c r="C61" s="111"/>
      <c r="D61" s="104"/>
      <c r="E61" s="56"/>
      <c r="G61" s="116"/>
      <c r="H61" s="114"/>
      <c r="J61" s="111"/>
      <c r="K61" s="104"/>
      <c r="M61" s="116"/>
    </row>
    <row r="62" spans="1:29" s="8" customFormat="1" ht="76.5" x14ac:dyDescent="0.2">
      <c r="A62" s="4"/>
      <c r="B62" s="6"/>
      <c r="C62" s="27" t="e">
        <f>"Période : "&amp;CHAR(10)&amp;PROPER(+TEXT(B63,"mmmm"))&amp;" "&amp;YEAR(B63)&amp;" à "&amp;IF(D17&gt;=B74,C74,PROPER(+TEXT(D17,"mmmm"))&amp;" "&amp;YEAR(D17))</f>
        <v>#VALUE!</v>
      </c>
      <c r="D62" s="27" t="str">
        <f>+D42</f>
        <v>Jours acquis dans l'année</v>
      </c>
      <c r="E62" s="28" t="s">
        <v>87</v>
      </c>
      <c r="F62" s="105"/>
      <c r="G62" s="27" t="str">
        <f>+G42</f>
        <v>Salaires bruts de l'année (hors indemnités)</v>
      </c>
      <c r="H62" s="27" t="s">
        <v>74</v>
      </c>
      <c r="J62" s="98" t="str">
        <f>+J42</f>
        <v>Mois</v>
      </c>
      <c r="K62" s="98" t="str">
        <f>+K42</f>
        <v>Jrs acquis en arrêt de maladie (2 jrs par mois)</v>
      </c>
      <c r="M62" s="98" t="str">
        <f>+M42</f>
        <v>80% des Salaires bruts correspondants à l'arrêt de maladie</v>
      </c>
      <c r="AB62" s="108" t="s">
        <v>77</v>
      </c>
    </row>
    <row r="63" spans="1:29" s="8" customFormat="1" ht="13.5" customHeight="1" x14ac:dyDescent="0.2">
      <c r="A63" s="36">
        <f>EDATE(A54,1)</f>
        <v>694114</v>
      </c>
      <c r="B63" s="1" t="str">
        <f>IF($B$54="","",IF(EDATE($B$54,1)&lt;=$D$17,EDATE($B$54,1),""))</f>
        <v/>
      </c>
      <c r="C63" s="88" t="str">
        <f>+IF(B63="","","Juin"&amp;" "&amp;YEAR(B63))</f>
        <v/>
      </c>
      <c r="D63" s="101"/>
      <c r="E63" s="37"/>
      <c r="G63" s="109"/>
      <c r="H63" s="110"/>
      <c r="J63" s="88" t="str">
        <f t="shared" ref="J63:J74" si="24">+C63</f>
        <v/>
      </c>
      <c r="K63" s="101"/>
      <c r="M63" s="109"/>
      <c r="AB63" s="8" t="str">
        <f>IF(B63="","NON",+IF(AND(DATE(YEAR(B63),MONTH(B63),1)&gt;=DATE(YEAR($D$15),MONTH($D$15),1),DATE(YEAR(B63),MONTH(B63),1)&lt;=DATE(YEAR($D$17),MONTH($D$17),1)),"OUI","NON"))</f>
        <v>NON</v>
      </c>
    </row>
    <row r="64" spans="1:29" s="8" customFormat="1" ht="13.5" customHeight="1" x14ac:dyDescent="0.2">
      <c r="A64" s="36">
        <f>EDATE(A63,1)</f>
        <v>694144</v>
      </c>
      <c r="B64" s="1" t="str">
        <f>IF($B$63="","",IF(EDATE($B$63,1)&lt;=$D$17,EDATE($B$63,1),""))</f>
        <v/>
      </c>
      <c r="C64" s="88" t="str">
        <f>+IF(B64="","","Juillet"&amp;" "&amp;YEAR(B64))</f>
        <v/>
      </c>
      <c r="D64" s="101"/>
      <c r="E64" s="37"/>
      <c r="G64" s="109"/>
      <c r="H64" s="110"/>
      <c r="J64" s="88" t="str">
        <f t="shared" si="24"/>
        <v/>
      </c>
      <c r="K64" s="101"/>
      <c r="M64" s="109"/>
      <c r="AB64" s="8" t="str">
        <f t="shared" ref="AB64:AB74" si="25">IF(B64="","NON",+IF(AND(DATE(YEAR(B64),MONTH(B64),1)&gt;=DATE(YEAR($D$15),MONTH($D$15),1),DATE(YEAR(B64),MONTH(B64),1)&lt;=DATE(YEAR($D$17),MONTH($D$17),1)),"OUI","NON"))</f>
        <v>NON</v>
      </c>
    </row>
    <row r="65" spans="1:29" s="8" customFormat="1" ht="13.5" customHeight="1" x14ac:dyDescent="0.2">
      <c r="A65" s="36">
        <f t="shared" ref="A65:A74" si="26">EDATE(A64,1)</f>
        <v>694175</v>
      </c>
      <c r="B65" s="1" t="str">
        <f>IF($B$64="","",IF(EDATE($B$64,1)&lt;=$D$17,EDATE($B$64,1),""))</f>
        <v/>
      </c>
      <c r="C65" s="88" t="str">
        <f>+IF(B65="","","Aout"&amp;" "&amp;YEAR(B65))</f>
        <v/>
      </c>
      <c r="D65" s="101"/>
      <c r="E65" s="37"/>
      <c r="G65" s="109"/>
      <c r="H65" s="110"/>
      <c r="J65" s="88" t="str">
        <f t="shared" si="24"/>
        <v/>
      </c>
      <c r="K65" s="101"/>
      <c r="M65" s="109"/>
      <c r="AB65" s="8" t="str">
        <f t="shared" si="25"/>
        <v>NON</v>
      </c>
    </row>
    <row r="66" spans="1:29" s="8" customFormat="1" ht="13.5" customHeight="1" x14ac:dyDescent="0.2">
      <c r="A66" s="36">
        <f t="shared" si="26"/>
        <v>694206</v>
      </c>
      <c r="B66" s="1" t="str">
        <f>IF($B$65="","",IF(EDATE($B$65,1)&lt;=$D$17,EDATE($B$65,1),""))</f>
        <v/>
      </c>
      <c r="C66" s="88" t="str">
        <f>+IF(B66="","","Septembre"&amp;" "&amp;YEAR(B66))</f>
        <v/>
      </c>
      <c r="D66" s="101"/>
      <c r="E66" s="37"/>
      <c r="G66" s="109"/>
      <c r="H66" s="110"/>
      <c r="J66" s="88" t="str">
        <f t="shared" si="24"/>
        <v/>
      </c>
      <c r="K66" s="101"/>
      <c r="M66" s="109"/>
      <c r="AB66" s="8" t="str">
        <f t="shared" si="25"/>
        <v>NON</v>
      </c>
    </row>
    <row r="67" spans="1:29" s="8" customFormat="1" ht="13.5" customHeight="1" x14ac:dyDescent="0.2">
      <c r="A67" s="36">
        <f t="shared" si="26"/>
        <v>694236</v>
      </c>
      <c r="B67" s="1" t="str">
        <f>IF($B$66="","",IF(EDATE($B$66,1)&lt;=$D$17,EDATE($B$66,1),""))</f>
        <v/>
      </c>
      <c r="C67" s="88" t="str">
        <f>+IF(B67="","","Octobre"&amp;" "&amp;YEAR(B67))</f>
        <v/>
      </c>
      <c r="D67" s="101"/>
      <c r="E67" s="37"/>
      <c r="G67" s="109"/>
      <c r="H67" s="110"/>
      <c r="J67" s="88" t="str">
        <f t="shared" si="24"/>
        <v/>
      </c>
      <c r="K67" s="101"/>
      <c r="M67" s="109"/>
      <c r="AB67" s="8" t="str">
        <f t="shared" si="25"/>
        <v>NON</v>
      </c>
    </row>
    <row r="68" spans="1:29" s="8" customFormat="1" ht="13.5" customHeight="1" x14ac:dyDescent="0.2">
      <c r="A68" s="36">
        <f t="shared" si="26"/>
        <v>694267</v>
      </c>
      <c r="B68" s="1" t="str">
        <f>IF($B$67="","",IF(EDATE($B$67,1)&lt;=$D$17,EDATE($B$67,1),""))</f>
        <v/>
      </c>
      <c r="C68" s="88" t="str">
        <f>+IF(B68="","","Novembre"&amp;" "&amp;YEAR(B68))</f>
        <v/>
      </c>
      <c r="D68" s="101"/>
      <c r="E68" s="37"/>
      <c r="G68" s="109"/>
      <c r="H68" s="110"/>
      <c r="J68" s="88" t="str">
        <f t="shared" si="24"/>
        <v/>
      </c>
      <c r="K68" s="101"/>
      <c r="M68" s="109"/>
      <c r="AB68" s="8" t="str">
        <f t="shared" si="25"/>
        <v>NON</v>
      </c>
    </row>
    <row r="69" spans="1:29" s="8" customFormat="1" ht="13.5" customHeight="1" x14ac:dyDescent="0.2">
      <c r="A69" s="36">
        <f t="shared" si="26"/>
        <v>694297</v>
      </c>
      <c r="B69" s="1" t="str">
        <f>IF($B$68="","",IF(EDATE($B$68,1)&lt;=$D$17,EDATE($B$68,1),""))</f>
        <v/>
      </c>
      <c r="C69" s="88" t="str">
        <f>+IF(B69="","","Décembre"&amp;" "&amp;YEAR(B69))</f>
        <v/>
      </c>
      <c r="D69" s="101"/>
      <c r="E69" s="37"/>
      <c r="G69" s="109"/>
      <c r="H69" s="110"/>
      <c r="J69" s="88" t="str">
        <f t="shared" si="24"/>
        <v/>
      </c>
      <c r="K69" s="101"/>
      <c r="M69" s="109"/>
      <c r="AB69" s="8" t="str">
        <f t="shared" si="25"/>
        <v>NON</v>
      </c>
    </row>
    <row r="70" spans="1:29" s="8" customFormat="1" ht="13.5" customHeight="1" x14ac:dyDescent="0.2">
      <c r="A70" s="36">
        <f t="shared" si="26"/>
        <v>694328</v>
      </c>
      <c r="B70" s="1" t="str">
        <f>IF($B$69="","",IF(EDATE($B$69,1)&lt;=$D$17,EDATE($B$69,1),""))</f>
        <v/>
      </c>
      <c r="C70" s="88" t="str">
        <f>+IF(B70="","","Janvier"&amp;" "&amp;YEAR(B70))</f>
        <v/>
      </c>
      <c r="D70" s="101"/>
      <c r="E70" s="37"/>
      <c r="G70" s="109"/>
      <c r="H70" s="110"/>
      <c r="J70" s="88" t="str">
        <f t="shared" si="24"/>
        <v/>
      </c>
      <c r="K70" s="101"/>
      <c r="M70" s="109"/>
      <c r="AB70" s="8" t="str">
        <f t="shared" si="25"/>
        <v>NON</v>
      </c>
    </row>
    <row r="71" spans="1:29" s="8" customFormat="1" ht="13.5" customHeight="1" x14ac:dyDescent="0.2">
      <c r="A71" s="36">
        <f t="shared" si="26"/>
        <v>694359</v>
      </c>
      <c r="B71" s="1" t="str">
        <f>IF($B$70="","",IF(EDATE($B$70,1)&lt;=$D$17,EDATE($B$70,1),""))</f>
        <v/>
      </c>
      <c r="C71" s="88" t="str">
        <f>+IF(B71="","","Février"&amp;" "&amp;YEAR(B71))</f>
        <v/>
      </c>
      <c r="D71" s="101"/>
      <c r="E71" s="37"/>
      <c r="G71" s="109"/>
      <c r="H71" s="110"/>
      <c r="J71" s="88" t="str">
        <f t="shared" si="24"/>
        <v/>
      </c>
      <c r="K71" s="101"/>
      <c r="M71" s="109"/>
      <c r="AB71" s="8" t="str">
        <f t="shared" si="25"/>
        <v>NON</v>
      </c>
    </row>
    <row r="72" spans="1:29" s="8" customFormat="1" ht="13.5" customHeight="1" x14ac:dyDescent="0.2">
      <c r="A72" s="36">
        <f t="shared" si="26"/>
        <v>694387</v>
      </c>
      <c r="B72" s="1" t="str">
        <f>IF($B$71="","",IF(EDATE($B$71,1)&lt;=$D$17,EDATE($B$71,1),""))</f>
        <v/>
      </c>
      <c r="C72" s="88" t="str">
        <f>+IF(B72="","","Mars"&amp;" "&amp;YEAR(B72))</f>
        <v/>
      </c>
      <c r="D72" s="101"/>
      <c r="E72" s="37"/>
      <c r="G72" s="109"/>
      <c r="H72" s="110"/>
      <c r="J72" s="88" t="str">
        <f t="shared" si="24"/>
        <v/>
      </c>
      <c r="K72" s="101"/>
      <c r="M72" s="109"/>
      <c r="AB72" s="8" t="str">
        <f t="shared" si="25"/>
        <v>NON</v>
      </c>
    </row>
    <row r="73" spans="1:29" s="8" customFormat="1" ht="13.5" customHeight="1" x14ac:dyDescent="0.2">
      <c r="A73" s="36">
        <f t="shared" si="26"/>
        <v>694418</v>
      </c>
      <c r="B73" s="1" t="str">
        <f>IF($B$72="","",IF(EDATE($B$72,1)&lt;=$D$17,EDATE($B$72,1),""))</f>
        <v/>
      </c>
      <c r="C73" s="88" t="str">
        <f>+IF(B73="","","Avril"&amp;" "&amp;YEAR(B73))</f>
        <v/>
      </c>
      <c r="D73" s="101"/>
      <c r="E73" s="37"/>
      <c r="G73" s="109"/>
      <c r="H73" s="110"/>
      <c r="J73" s="88" t="str">
        <f t="shared" si="24"/>
        <v/>
      </c>
      <c r="K73" s="101"/>
      <c r="M73" s="109"/>
      <c r="AB73" s="8" t="str">
        <f t="shared" si="25"/>
        <v>NON</v>
      </c>
    </row>
    <row r="74" spans="1:29" s="8" customFormat="1" ht="13.5" customHeight="1" x14ac:dyDescent="0.2">
      <c r="A74" s="36">
        <f t="shared" si="26"/>
        <v>694448</v>
      </c>
      <c r="B74" s="1" t="str">
        <f>IF($B$73="","",IF(EDATE($B$73,1)&lt;=$D$17,EDATE($B$73,1),""))</f>
        <v/>
      </c>
      <c r="C74" s="88" t="str">
        <f>+IF(B74="","","Mai"&amp;" "&amp;YEAR(B74))</f>
        <v/>
      </c>
      <c r="D74" s="101"/>
      <c r="E74" s="37"/>
      <c r="G74" s="109"/>
      <c r="H74" s="110"/>
      <c r="J74" s="88" t="str">
        <f t="shared" si="24"/>
        <v/>
      </c>
      <c r="K74" s="101"/>
      <c r="M74" s="109"/>
      <c r="AB74" s="8" t="str">
        <f t="shared" si="25"/>
        <v>NON</v>
      </c>
      <c r="AC74" s="8" t="s">
        <v>81</v>
      </c>
    </row>
    <row r="75" spans="1:29" s="8" customFormat="1" ht="12.75" x14ac:dyDescent="0.2">
      <c r="A75" s="4"/>
      <c r="B75" s="6"/>
      <c r="C75" s="38" t="s">
        <v>82</v>
      </c>
      <c r="D75" s="39">
        <f>+K77</f>
        <v>0</v>
      </c>
      <c r="G75" s="40">
        <f>+M77</f>
        <v>0</v>
      </c>
    </row>
    <row r="76" spans="1:29" s="8" customFormat="1" ht="13.5" customHeight="1" x14ac:dyDescent="0.2">
      <c r="A76" s="36"/>
      <c r="B76" s="1"/>
      <c r="C76" s="41" t="s">
        <v>83</v>
      </c>
      <c r="D76" s="42"/>
      <c r="E76" s="203" t="str">
        <f>IF(ROUNDUP(SUM(D63:D75),0)+D76&gt;30,"Trop de jours enfants -15 ans","")</f>
        <v/>
      </c>
      <c r="G76" s="112">
        <f>+IF(D76&gt;0,SUM(G63:G75)/(ROUNDUP(SUM(D63:D75),0))*D76,0)</f>
        <v>0</v>
      </c>
      <c r="H76" s="118" t="str">
        <f>IF(G76&gt;0,"= "&amp;ROUND(SUM(G63:G75),2)&amp;" €  / "&amp;ROUNDUP(SUM(D63:D75),0)&amp;" jrs X "&amp;D76&amp;" jrs","")</f>
        <v/>
      </c>
      <c r="AC76" s="8" t="str">
        <f>+IF(C84="","NON","OUI")</f>
        <v>NON</v>
      </c>
    </row>
    <row r="77" spans="1:29" s="8" customFormat="1" ht="40.5" customHeight="1" thickBot="1" x14ac:dyDescent="0.25">
      <c r="A77" s="36"/>
      <c r="B77" s="1"/>
      <c r="C77" s="44" t="s">
        <v>84</v>
      </c>
      <c r="D77" s="45">
        <f>MIN(ROUNDUP(SUM(D63:D76),0),30)</f>
        <v>0</v>
      </c>
      <c r="E77" s="46">
        <f>SUM(E63:E74)</f>
        <v>0</v>
      </c>
      <c r="G77" s="57">
        <f>SUM(G63:G76)</f>
        <v>0</v>
      </c>
      <c r="H77" s="114"/>
      <c r="K77" s="39">
        <f>SUM(K63:K74)</f>
        <v>0</v>
      </c>
      <c r="M77" s="48">
        <f>SUM(M63:M74)</f>
        <v>0</v>
      </c>
    </row>
    <row r="78" spans="1:29" s="8" customFormat="1" ht="29.25" customHeight="1" thickBot="1" x14ac:dyDescent="0.25">
      <c r="A78" s="36"/>
      <c r="B78" s="1"/>
      <c r="C78" s="49" t="s">
        <v>85</v>
      </c>
      <c r="D78" s="50">
        <f>+D58+D77</f>
        <v>0</v>
      </c>
      <c r="E78" s="51">
        <f>+E58+E77</f>
        <v>0</v>
      </c>
      <c r="G78" s="52">
        <f>+G58+G77</f>
        <v>0</v>
      </c>
      <c r="H78" s="114"/>
      <c r="I78" s="93"/>
    </row>
    <row r="79" spans="1:29" s="8" customFormat="1" ht="9" customHeight="1" thickBot="1" x14ac:dyDescent="0.25">
      <c r="A79" s="36"/>
      <c r="B79" s="1"/>
      <c r="C79" s="58"/>
      <c r="D79" s="59"/>
      <c r="E79" s="60"/>
      <c r="G79" s="61"/>
      <c r="H79" s="114"/>
    </row>
    <row r="80" spans="1:29" s="8" customFormat="1" ht="13.5" customHeight="1" x14ac:dyDescent="0.2">
      <c r="A80" s="36"/>
      <c r="B80" s="1"/>
      <c r="C80" s="221" t="str">
        <f>+C60</f>
        <v>Pris (congés acquis : Janvier 1900 à ) :</v>
      </c>
      <c r="D80" s="234"/>
      <c r="E80" s="62">
        <f>+MIN(E57+E77,D57)</f>
        <v>0</v>
      </c>
      <c r="F80" s="87"/>
      <c r="G80" s="63">
        <f>+D58-(MIN(E57+E77,D57))</f>
        <v>0</v>
      </c>
      <c r="H80" s="64" t="str">
        <f>+H60</f>
        <v>Reste à prendre (congés acquis : Janvier 1900 à )</v>
      </c>
      <c r="K80" s="13"/>
      <c r="L80" s="13"/>
      <c r="M80" s="13"/>
      <c r="AB80" s="8" t="s">
        <v>86</v>
      </c>
      <c r="AC80" s="8" t="str">
        <f>+AQ2</f>
        <v>NON</v>
      </c>
    </row>
    <row r="81" spans="1:29" s="8" customFormat="1" ht="13.5" customHeight="1" thickBot="1" x14ac:dyDescent="0.25">
      <c r="A81" s="36"/>
      <c r="B81" s="1"/>
      <c r="C81" s="212" t="e">
        <f>+"Pris (congés acquis : "&amp;PROPER(+TEXT(B63,"mmmm"))&amp;" "&amp;YEAR(B63)&amp;" à "&amp;IF(D17&gt;=B74,C74,PROPER(+TEXT(D17,"mmmm"))&amp;" "&amp;YEAR(D17))&amp;") :"</f>
        <v>#VALUE!</v>
      </c>
      <c r="D81" s="229"/>
      <c r="E81" s="65">
        <f>+E77+E57-E80</f>
        <v>0</v>
      </c>
      <c r="F81" s="87"/>
      <c r="G81" s="66">
        <f>MIN(D78-E81-E80,D77)</f>
        <v>0</v>
      </c>
      <c r="H81" s="67" t="e">
        <f>+"Reste à prendre (congés acquis : "&amp;PROPER(+TEXT(B63,"mmmm"))&amp;" "&amp;YEAR(B63)&amp;" à "&amp;IF(D17&gt;=B74,C74,PROPER(+TEXT(D17,"mmmm"))&amp;" "&amp;YEAR(D17))&amp;")"</f>
        <v>#VALUE!</v>
      </c>
      <c r="K81" s="13"/>
      <c r="L81" s="13"/>
      <c r="M81" s="13"/>
    </row>
    <row r="82" spans="1:29" s="8" customFormat="1" ht="13.5" customHeight="1" x14ac:dyDescent="0.2">
      <c r="A82" s="36"/>
      <c r="B82" s="1"/>
      <c r="C82" s="111"/>
      <c r="D82" s="104"/>
      <c r="E82" s="56"/>
      <c r="G82" s="116"/>
      <c r="H82" s="114"/>
      <c r="J82" s="111"/>
      <c r="K82" s="104"/>
      <c r="M82" s="116"/>
    </row>
    <row r="83" spans="1:29" s="8" customFormat="1" ht="76.5" x14ac:dyDescent="0.2">
      <c r="A83" s="4"/>
      <c r="B83" s="6"/>
      <c r="C83" s="27" t="e">
        <f>"Période de : "&amp;CHAR(10)&amp;PROPER(+TEXT(B84,"mmmm"))&amp;" "&amp;YEAR(B84)&amp;" à "&amp;IF(D17&gt;=B95,C95,PROPER(+TEXT(D17,"mmmm"))&amp;" "&amp;YEAR(D17))</f>
        <v>#VALUE!</v>
      </c>
      <c r="D83" s="27" t="str">
        <f>+D62</f>
        <v>Jours acquis dans l'année</v>
      </c>
      <c r="E83" s="28" t="s">
        <v>87</v>
      </c>
      <c r="F83" s="105"/>
      <c r="G83" s="27" t="str">
        <f>+G62</f>
        <v>Salaires bruts de l'année (hors indemnités)</v>
      </c>
      <c r="H83" s="27" t="s">
        <v>74</v>
      </c>
      <c r="J83" s="98" t="str">
        <f>+J42</f>
        <v>Mois</v>
      </c>
      <c r="K83" s="98" t="str">
        <f>+K42</f>
        <v>Jrs acquis en arrêt de maladie (2 jrs par mois)</v>
      </c>
      <c r="M83" s="98" t="str">
        <f>+M42</f>
        <v>80% des Salaires bruts correspondants à l'arrêt de maladie</v>
      </c>
      <c r="AB83" s="108" t="s">
        <v>77</v>
      </c>
    </row>
    <row r="84" spans="1:29" s="8" customFormat="1" ht="13.5" customHeight="1" x14ac:dyDescent="0.2">
      <c r="A84" s="36">
        <f>EDATE(A74,1)</f>
        <v>694479</v>
      </c>
      <c r="B84" s="1" t="str">
        <f>IF($B$74="","",IF(EDATE($B$74,1)&lt;=$D$17,EDATE($B$74,1),""))</f>
        <v/>
      </c>
      <c r="C84" s="88" t="str">
        <f>+IF(B84="","","Juin"&amp;" "&amp;YEAR(B84))</f>
        <v/>
      </c>
      <c r="D84" s="101"/>
      <c r="E84" s="37"/>
      <c r="G84" s="109"/>
      <c r="H84" s="110"/>
      <c r="J84" s="88" t="str">
        <f>+C84</f>
        <v/>
      </c>
      <c r="K84" s="101"/>
      <c r="M84" s="109"/>
      <c r="AB84" s="8" t="str">
        <f>IF(B84="","NON",+IF(AND(DATE(YEAR(B84),MONTH(B84),1)&gt;=DATE(YEAR($D$15),MONTH($D$15),1),DATE(YEAR(B84),MONTH(B84),1)&lt;=DATE(YEAR($D$17),MONTH($D$17),1)),"OUI","NON"))</f>
        <v>NON</v>
      </c>
    </row>
    <row r="85" spans="1:29" s="8" customFormat="1" ht="13.5" customHeight="1" x14ac:dyDescent="0.2">
      <c r="A85" s="36">
        <f>+EDATE(A84,1)</f>
        <v>694509</v>
      </c>
      <c r="B85" s="1" t="str">
        <f>IF($B$84="","",IF(EDATE($B$84,1)&lt;=$D$17,EDATE($B$84,1),""))</f>
        <v/>
      </c>
      <c r="C85" s="88" t="str">
        <f>+IF(B85="","","Juillet"&amp;" "&amp;YEAR(B85))</f>
        <v/>
      </c>
      <c r="D85" s="101"/>
      <c r="E85" s="37"/>
      <c r="G85" s="109"/>
      <c r="H85" s="110"/>
      <c r="J85" s="88" t="str">
        <f t="shared" ref="J85:J95" si="27">+C85</f>
        <v/>
      </c>
      <c r="K85" s="101"/>
      <c r="M85" s="109"/>
      <c r="AB85" s="8" t="str">
        <f t="shared" ref="AB85:AB95" si="28">IF(B85="","NON",+IF(AND(DATE(YEAR(B85),MONTH(B85),1)&gt;=DATE(YEAR($D$15),MONTH($D$15),1),DATE(YEAR(B85),MONTH(B85),1)&lt;=DATE(YEAR($D$17),MONTH($D$17),1)),"OUI","NON"))</f>
        <v>NON</v>
      </c>
    </row>
    <row r="86" spans="1:29" s="8" customFormat="1" ht="13.5" customHeight="1" x14ac:dyDescent="0.2">
      <c r="A86" s="36">
        <f t="shared" ref="A86:A95" si="29">+EDATE(A85,1)</f>
        <v>694540</v>
      </c>
      <c r="B86" s="1" t="str">
        <f>IF($B$85="","",IF(EDATE($B$85,1)&lt;=$D$17,EDATE($B$85,1),""))</f>
        <v/>
      </c>
      <c r="C86" s="88" t="str">
        <f>+IF(B86="","","Aout"&amp;" "&amp;YEAR(B86))</f>
        <v/>
      </c>
      <c r="D86" s="101"/>
      <c r="E86" s="37"/>
      <c r="G86" s="109"/>
      <c r="H86" s="110"/>
      <c r="J86" s="88" t="str">
        <f t="shared" si="27"/>
        <v/>
      </c>
      <c r="K86" s="101"/>
      <c r="M86" s="109"/>
      <c r="AB86" s="8" t="str">
        <f t="shared" si="28"/>
        <v>NON</v>
      </c>
    </row>
    <row r="87" spans="1:29" s="8" customFormat="1" ht="13.5" customHeight="1" x14ac:dyDescent="0.2">
      <c r="A87" s="36">
        <f t="shared" si="29"/>
        <v>694571</v>
      </c>
      <c r="B87" s="1" t="str">
        <f>IF($B$86="","",IF(EDATE($B$86,1)&lt;=$D$17,EDATE($B$86,1),""))</f>
        <v/>
      </c>
      <c r="C87" s="88" t="str">
        <f>+IF(B87="","","Septembre"&amp;" "&amp;YEAR(B87))</f>
        <v/>
      </c>
      <c r="D87" s="101"/>
      <c r="E87" s="37"/>
      <c r="G87" s="109"/>
      <c r="H87" s="110"/>
      <c r="J87" s="88" t="str">
        <f t="shared" si="27"/>
        <v/>
      </c>
      <c r="K87" s="101"/>
      <c r="M87" s="109"/>
      <c r="AB87" s="8" t="str">
        <f t="shared" si="28"/>
        <v>NON</v>
      </c>
    </row>
    <row r="88" spans="1:29" s="8" customFormat="1" ht="13.5" customHeight="1" x14ac:dyDescent="0.2">
      <c r="A88" s="36">
        <f t="shared" si="29"/>
        <v>694601</v>
      </c>
      <c r="B88" s="1" t="str">
        <f>IF($B$87="","",IF(EDATE($B$87,1)&lt;=$D$17,EDATE($B$87,1),""))</f>
        <v/>
      </c>
      <c r="C88" s="88" t="str">
        <f>+IF(B88="","","Octobre"&amp;" "&amp;YEAR(B88))</f>
        <v/>
      </c>
      <c r="D88" s="101"/>
      <c r="E88" s="37"/>
      <c r="G88" s="109"/>
      <c r="H88" s="110"/>
      <c r="J88" s="88" t="str">
        <f t="shared" si="27"/>
        <v/>
      </c>
      <c r="K88" s="101"/>
      <c r="M88" s="109"/>
      <c r="AB88" s="8" t="str">
        <f t="shared" si="28"/>
        <v>NON</v>
      </c>
    </row>
    <row r="89" spans="1:29" s="8" customFormat="1" ht="13.5" customHeight="1" x14ac:dyDescent="0.2">
      <c r="A89" s="36">
        <f t="shared" si="29"/>
        <v>694632</v>
      </c>
      <c r="B89" s="1" t="str">
        <f>IF($B$88="","",IF(EDATE($B$88,1)&lt;=$D$17,EDATE($B$88,1),""))</f>
        <v/>
      </c>
      <c r="C89" s="88" t="str">
        <f>+IF(B89="","","Novembre"&amp;" "&amp;YEAR(B89))</f>
        <v/>
      </c>
      <c r="D89" s="101"/>
      <c r="E89" s="37"/>
      <c r="G89" s="109"/>
      <c r="H89" s="110"/>
      <c r="J89" s="88" t="str">
        <f t="shared" si="27"/>
        <v/>
      </c>
      <c r="K89" s="101"/>
      <c r="M89" s="109"/>
      <c r="AB89" s="8" t="str">
        <f t="shared" si="28"/>
        <v>NON</v>
      </c>
    </row>
    <row r="90" spans="1:29" s="8" customFormat="1" ht="13.5" customHeight="1" x14ac:dyDescent="0.2">
      <c r="A90" s="36">
        <f t="shared" si="29"/>
        <v>694662</v>
      </c>
      <c r="B90" s="1" t="str">
        <f>IF($B$89="","",IF(EDATE($B$89,1)&lt;=$D$17,EDATE($B$89,1),""))</f>
        <v/>
      </c>
      <c r="C90" s="88" t="str">
        <f>+IF(B90="","","Décembre"&amp;" "&amp;YEAR(B90))</f>
        <v/>
      </c>
      <c r="D90" s="101"/>
      <c r="E90" s="37"/>
      <c r="G90" s="109"/>
      <c r="H90" s="110"/>
      <c r="J90" s="88" t="str">
        <f t="shared" si="27"/>
        <v/>
      </c>
      <c r="K90" s="101"/>
      <c r="M90" s="109"/>
      <c r="AB90" s="8" t="str">
        <f t="shared" si="28"/>
        <v>NON</v>
      </c>
    </row>
    <row r="91" spans="1:29" s="8" customFormat="1" ht="13.5" customHeight="1" x14ac:dyDescent="0.2">
      <c r="A91" s="36">
        <f t="shared" si="29"/>
        <v>694693</v>
      </c>
      <c r="B91" s="1" t="str">
        <f>IF($B$90="","",IF(EDATE($B$90,1)&lt;=$D$17,EDATE($B$90,1),""))</f>
        <v/>
      </c>
      <c r="C91" s="88" t="str">
        <f>+IF(B91="","","Janvier"&amp;" "&amp;YEAR(B91))</f>
        <v/>
      </c>
      <c r="D91" s="101"/>
      <c r="E91" s="37"/>
      <c r="G91" s="109"/>
      <c r="H91" s="110"/>
      <c r="J91" s="88" t="str">
        <f t="shared" si="27"/>
        <v/>
      </c>
      <c r="K91" s="101"/>
      <c r="M91" s="109"/>
      <c r="AB91" s="8" t="str">
        <f t="shared" si="28"/>
        <v>NON</v>
      </c>
    </row>
    <row r="92" spans="1:29" s="8" customFormat="1" ht="13.5" customHeight="1" x14ac:dyDescent="0.2">
      <c r="A92" s="36">
        <f t="shared" si="29"/>
        <v>694724</v>
      </c>
      <c r="B92" s="1" t="str">
        <f>IF($B$91="","",IF(EDATE($B$91,1)&lt;=$D$17,EDATE($B$91,1),""))</f>
        <v/>
      </c>
      <c r="C92" s="88" t="str">
        <f>+IF(B92="","","Février"&amp;" "&amp;YEAR(B92))</f>
        <v/>
      </c>
      <c r="D92" s="101"/>
      <c r="E92" s="37"/>
      <c r="G92" s="109"/>
      <c r="H92" s="110"/>
      <c r="J92" s="88" t="str">
        <f t="shared" si="27"/>
        <v/>
      </c>
      <c r="K92" s="101"/>
      <c r="M92" s="109"/>
      <c r="AB92" s="8" t="str">
        <f t="shared" si="28"/>
        <v>NON</v>
      </c>
    </row>
    <row r="93" spans="1:29" s="8" customFormat="1" ht="13.5" customHeight="1" x14ac:dyDescent="0.2">
      <c r="A93" s="36">
        <f t="shared" si="29"/>
        <v>694752</v>
      </c>
      <c r="B93" s="1" t="str">
        <f>IF($B$92="","",IF(EDATE($B$92,1)&lt;=$D$17,EDATE($B$92,1),""))</f>
        <v/>
      </c>
      <c r="C93" s="88" t="str">
        <f>+IF(B93="","","Mars"&amp;" "&amp;YEAR(B93))</f>
        <v/>
      </c>
      <c r="D93" s="101"/>
      <c r="E93" s="37"/>
      <c r="G93" s="109"/>
      <c r="H93" s="110"/>
      <c r="J93" s="88" t="str">
        <f t="shared" si="27"/>
        <v/>
      </c>
      <c r="K93" s="101"/>
      <c r="M93" s="109"/>
      <c r="AB93" s="8" t="str">
        <f t="shared" si="28"/>
        <v>NON</v>
      </c>
    </row>
    <row r="94" spans="1:29" s="8" customFormat="1" ht="13.5" customHeight="1" x14ac:dyDescent="0.2">
      <c r="A94" s="36">
        <f t="shared" si="29"/>
        <v>694783</v>
      </c>
      <c r="B94" s="1" t="str">
        <f>IF($B$93="","",IF(EDATE($B$93,1)&lt;=$D$17,EDATE($B$93,1),""))</f>
        <v/>
      </c>
      <c r="C94" s="88" t="str">
        <f>+IF(B94="","","Avril"&amp;" "&amp;YEAR(B94))</f>
        <v/>
      </c>
      <c r="D94" s="101"/>
      <c r="E94" s="37"/>
      <c r="G94" s="109"/>
      <c r="H94" s="110"/>
      <c r="J94" s="88" t="str">
        <f t="shared" si="27"/>
        <v/>
      </c>
      <c r="K94" s="101"/>
      <c r="M94" s="109"/>
      <c r="AB94" s="8" t="str">
        <f t="shared" si="28"/>
        <v>NON</v>
      </c>
    </row>
    <row r="95" spans="1:29" s="8" customFormat="1" ht="13.5" customHeight="1" x14ac:dyDescent="0.2">
      <c r="A95" s="36">
        <f t="shared" si="29"/>
        <v>694813</v>
      </c>
      <c r="B95" s="1" t="str">
        <f>IF($B$94="","",IF(EDATE($B$94,1)&lt;=$D$17,EDATE($B$94,1),""))</f>
        <v/>
      </c>
      <c r="C95" s="88" t="str">
        <f>+IF(B95="","","Mai"&amp;" "&amp;YEAR(B95))</f>
        <v/>
      </c>
      <c r="D95" s="101"/>
      <c r="E95" s="37"/>
      <c r="G95" s="109"/>
      <c r="H95" s="110"/>
      <c r="J95" s="88" t="str">
        <f t="shared" si="27"/>
        <v/>
      </c>
      <c r="K95" s="101"/>
      <c r="M95" s="109"/>
      <c r="AB95" s="8" t="str">
        <f t="shared" si="28"/>
        <v>NON</v>
      </c>
      <c r="AC95" s="8" t="s">
        <v>81</v>
      </c>
    </row>
    <row r="96" spans="1:29" s="8" customFormat="1" ht="12.75" x14ac:dyDescent="0.2">
      <c r="A96" s="4"/>
      <c r="B96" s="6"/>
      <c r="C96" s="38" t="s">
        <v>82</v>
      </c>
      <c r="D96" s="39">
        <f>+K98</f>
        <v>0</v>
      </c>
      <c r="G96" s="40">
        <f>+M98</f>
        <v>0</v>
      </c>
    </row>
    <row r="97" spans="1:29" s="8" customFormat="1" ht="13.5" customHeight="1" x14ac:dyDescent="0.2">
      <c r="A97" s="36"/>
      <c r="B97" s="1"/>
      <c r="C97" s="41" t="s">
        <v>83</v>
      </c>
      <c r="D97" s="42"/>
      <c r="E97" s="203" t="str">
        <f>IF(ROUNDUP(SUM(D84:D96),0)+D97&gt;30,"Trop de jours enfants -15 ans","")</f>
        <v/>
      </c>
      <c r="G97" s="112">
        <f>+IF(D97&gt;0,SUM(G84:G96)/(ROUNDUP(SUM(D84:D96),0))*D97,0)</f>
        <v>0</v>
      </c>
      <c r="H97" s="118" t="str">
        <f>IF(G97&gt;0,"= "&amp;ROUND(SUM(G84:G96),2)&amp;" €  / "&amp;ROUNDUP(SUM(D84:D96),0)&amp;" jrs X "&amp;D97&amp;" jrs","")</f>
        <v/>
      </c>
      <c r="AC97" s="8" t="str">
        <f>+IF(C106="","NON","OUI")</f>
        <v>NON</v>
      </c>
    </row>
    <row r="98" spans="1:29" s="8" customFormat="1" ht="40.5" customHeight="1" thickBot="1" x14ac:dyDescent="0.25">
      <c r="A98" s="36"/>
      <c r="B98" s="1"/>
      <c r="C98" s="44" t="s">
        <v>84</v>
      </c>
      <c r="D98" s="45">
        <f>MIN(ROUNDUP(SUM(D84:D97),0),30)</f>
        <v>0</v>
      </c>
      <c r="E98" s="46">
        <f>SUM(E84:E95)</f>
        <v>0</v>
      </c>
      <c r="G98" s="57">
        <f>SUM(G84:G97)</f>
        <v>0</v>
      </c>
      <c r="H98" s="114"/>
      <c r="K98" s="39">
        <f>SUM(K84:K95)</f>
        <v>0</v>
      </c>
      <c r="M98" s="48">
        <f>SUM(M84:M95)</f>
        <v>0</v>
      </c>
    </row>
    <row r="99" spans="1:29" s="8" customFormat="1" ht="31.5" customHeight="1" thickBot="1" x14ac:dyDescent="0.25">
      <c r="A99" s="36"/>
      <c r="B99" s="1"/>
      <c r="C99" s="49" t="s">
        <v>85</v>
      </c>
      <c r="D99" s="50">
        <f>+D78+D98</f>
        <v>0</v>
      </c>
      <c r="E99" s="51">
        <f>+E98+E78</f>
        <v>0</v>
      </c>
      <c r="G99" s="52">
        <f>+G78+G98</f>
        <v>0</v>
      </c>
      <c r="H99" s="114"/>
      <c r="I99" s="93"/>
    </row>
    <row r="100" spans="1:29" s="8" customFormat="1" ht="9" customHeight="1" thickBot="1" x14ac:dyDescent="0.25">
      <c r="A100" s="36"/>
      <c r="B100" s="1"/>
      <c r="C100" s="58"/>
      <c r="D100" s="59"/>
      <c r="E100" s="60"/>
      <c r="G100" s="61"/>
      <c r="H100" s="114"/>
    </row>
    <row r="101" spans="1:29" s="8" customFormat="1" ht="12.75" x14ac:dyDescent="0.2">
      <c r="A101" s="36"/>
      <c r="B101" s="1"/>
      <c r="C101" s="221" t="str">
        <f>+C80</f>
        <v>Pris (congés acquis : Janvier 1900 à ) :</v>
      </c>
      <c r="D101" s="222"/>
      <c r="E101" s="68">
        <f>+MIN(E57+E77+E98,D57)</f>
        <v>0</v>
      </c>
      <c r="F101" s="87"/>
      <c r="G101" s="63">
        <f>+D58-(MIN(E57+E77+E98,D57))</f>
        <v>0</v>
      </c>
      <c r="H101" s="64" t="str">
        <f>+H80</f>
        <v>Reste à prendre (congés acquis : Janvier 1900 à )</v>
      </c>
    </row>
    <row r="102" spans="1:29" s="8" customFormat="1" ht="13.5" customHeight="1" x14ac:dyDescent="0.2">
      <c r="A102" s="36"/>
      <c r="B102" s="1"/>
      <c r="C102" s="210" t="e">
        <f>+C81</f>
        <v>#VALUE!</v>
      </c>
      <c r="D102" s="211"/>
      <c r="E102" s="69">
        <f>+MIN(E77+E98+E57-E101,D77)</f>
        <v>0</v>
      </c>
      <c r="F102" s="87"/>
      <c r="G102" s="70">
        <f>+D78-(MIN(E57+E77+E98,D78))-G101</f>
        <v>0</v>
      </c>
      <c r="H102" s="71" t="e">
        <f>+H81</f>
        <v>#VALUE!</v>
      </c>
      <c r="K102" s="13"/>
      <c r="L102" s="13"/>
      <c r="M102" s="13"/>
      <c r="AB102" s="8" t="s">
        <v>86</v>
      </c>
      <c r="AC102" s="8" t="str">
        <f>+AR2</f>
        <v>NON</v>
      </c>
    </row>
    <row r="103" spans="1:29" s="8" customFormat="1" ht="13.5" customHeight="1" thickBot="1" x14ac:dyDescent="0.25">
      <c r="A103" s="36"/>
      <c r="B103" s="1"/>
      <c r="C103" s="212" t="e">
        <f>+"Pris (congés acquis : "&amp;PROPER(+TEXT(B84,"mmmm"))&amp;" "&amp;YEAR(B84)&amp;" à "&amp;IF(D17&gt;=B95,C95,PROPER(+TEXT(D17,"mmmm"))&amp;" "&amp;YEAR(D17))&amp;") :"</f>
        <v>#VALUE!</v>
      </c>
      <c r="D103" s="213"/>
      <c r="E103" s="72">
        <f>+E77+E98+E57-E102-E101</f>
        <v>0</v>
      </c>
      <c r="F103" s="87"/>
      <c r="G103" s="66">
        <f>MIN(D99-E103-E102-E101,D98)</f>
        <v>0</v>
      </c>
      <c r="H103" s="67" t="e">
        <f>+"Reste à prendre (congés acquis : "&amp;PROPER(+TEXT(B84,"mmmm"))&amp;" "&amp;YEAR(B84)&amp;" à "&amp;IF(D17&gt;=B95,C95,PROPER(+TEXT(D17,"mmmm"))&amp;" "&amp;YEAR(D17))&amp;")"</f>
        <v>#VALUE!</v>
      </c>
      <c r="K103" s="13"/>
      <c r="L103" s="13"/>
      <c r="M103" s="13"/>
    </row>
    <row r="104" spans="1:29" s="8" customFormat="1" ht="13.5" customHeight="1" x14ac:dyDescent="0.2">
      <c r="A104" s="36"/>
      <c r="B104" s="1"/>
      <c r="C104" s="111"/>
      <c r="D104" s="104"/>
      <c r="E104" s="56"/>
      <c r="G104" s="116"/>
      <c r="H104" s="114"/>
      <c r="J104" s="111"/>
      <c r="K104" s="104"/>
      <c r="M104" s="116"/>
    </row>
    <row r="105" spans="1:29" s="8" customFormat="1" ht="76.5" x14ac:dyDescent="0.2">
      <c r="A105" s="4"/>
      <c r="B105" s="6"/>
      <c r="C105" s="27" t="e">
        <f>"Période de : "&amp;CHAR(10)&amp;PROPER(+TEXT(B106,"mmmm"))&amp;" "&amp;YEAR(B106)&amp;" à "&amp;IF(D17&gt;=B117,C117,PROPER(+TEXT(D17,"mmmm"))&amp;" "&amp;YEAR(D17))</f>
        <v>#VALUE!</v>
      </c>
      <c r="D105" s="27" t="str">
        <f>+D83</f>
        <v>Jours acquis dans l'année</v>
      </c>
      <c r="E105" s="28" t="s">
        <v>87</v>
      </c>
      <c r="F105" s="105"/>
      <c r="G105" s="27" t="str">
        <f>+G83</f>
        <v>Salaires bruts de l'année (hors indemnités)</v>
      </c>
      <c r="H105" s="27" t="s">
        <v>74</v>
      </c>
      <c r="J105" s="98" t="str">
        <f>+J42</f>
        <v>Mois</v>
      </c>
      <c r="K105" s="98" t="str">
        <f>+K42</f>
        <v>Jrs acquis en arrêt de maladie (2 jrs par mois)</v>
      </c>
      <c r="M105" s="98" t="str">
        <f>+M42</f>
        <v>80% des Salaires bruts correspondants à l'arrêt de maladie</v>
      </c>
      <c r="AB105" s="108" t="s">
        <v>77</v>
      </c>
    </row>
    <row r="106" spans="1:29" s="8" customFormat="1" ht="13.5" customHeight="1" x14ac:dyDescent="0.2">
      <c r="A106" s="36">
        <f>EDATE(A95,1)</f>
        <v>694844</v>
      </c>
      <c r="B106" s="1" t="str">
        <f>IF($B$95="","",IF(EDATE($B$95,1)&lt;=$D$17,EDATE($B$95,1),""))</f>
        <v/>
      </c>
      <c r="C106" s="88" t="str">
        <f>+IF(B106="","","Juin"&amp;" "&amp;YEAR(B106))</f>
        <v/>
      </c>
      <c r="D106" s="101"/>
      <c r="E106" s="37"/>
      <c r="G106" s="109"/>
      <c r="H106" s="110"/>
      <c r="J106" s="88" t="str">
        <f t="shared" ref="J106:J117" si="30">+C106</f>
        <v/>
      </c>
      <c r="K106" s="101"/>
      <c r="M106" s="109"/>
      <c r="AB106" s="8" t="str">
        <f>IF(B106="","NON",+IF(AND(DATE(YEAR(B106),MONTH(B106),1)&gt;=DATE(YEAR($D$15),MONTH($D$15),1),DATE(YEAR(B106),MONTH(B106),1)&lt;=DATE(YEAR($D$17),MONTH($D$17),1)),"OUI","NON"))</f>
        <v>NON</v>
      </c>
    </row>
    <row r="107" spans="1:29" s="8" customFormat="1" ht="13.5" customHeight="1" x14ac:dyDescent="0.2">
      <c r="A107" s="36">
        <f>EDATE(A106,1)</f>
        <v>694874</v>
      </c>
      <c r="B107" s="1" t="str">
        <f>IF($B$106="","",IF(EDATE($B$106,1)&lt;=$D$17,EDATE($B$106,1),""))</f>
        <v/>
      </c>
      <c r="C107" s="88" t="str">
        <f>+IF(B107="","","Juillet"&amp;" "&amp;YEAR(B107))</f>
        <v/>
      </c>
      <c r="D107" s="101"/>
      <c r="E107" s="37"/>
      <c r="G107" s="109"/>
      <c r="H107" s="110"/>
      <c r="J107" s="88" t="str">
        <f t="shared" si="30"/>
        <v/>
      </c>
      <c r="K107" s="101"/>
      <c r="M107" s="109"/>
      <c r="AB107" s="8" t="str">
        <f t="shared" ref="AB107:AB117" si="31">IF(B107="","NON",+IF(AND(DATE(YEAR(B107),MONTH(B107),1)&gt;=DATE(YEAR($D$15),MONTH($D$15),1),DATE(YEAR(B107),MONTH(B107),1)&lt;=DATE(YEAR($D$17),MONTH($D$17),1)),"OUI","NON"))</f>
        <v>NON</v>
      </c>
    </row>
    <row r="108" spans="1:29" s="8" customFormat="1" ht="13.5" customHeight="1" x14ac:dyDescent="0.2">
      <c r="A108" s="36">
        <f t="shared" ref="A108:A117" si="32">EDATE(A107,1)</f>
        <v>694905</v>
      </c>
      <c r="B108" s="1" t="str">
        <f>IF($B$107="","",IF(EDATE($B$107,1)&lt;=$D$17,EDATE($B$107,1),""))</f>
        <v/>
      </c>
      <c r="C108" s="88" t="str">
        <f>+IF(B108="","","Aout"&amp;" "&amp;YEAR(B108))</f>
        <v/>
      </c>
      <c r="D108" s="101"/>
      <c r="E108" s="37"/>
      <c r="G108" s="109"/>
      <c r="H108" s="110"/>
      <c r="J108" s="88" t="str">
        <f t="shared" si="30"/>
        <v/>
      </c>
      <c r="K108" s="101"/>
      <c r="M108" s="109"/>
      <c r="AB108" s="8" t="str">
        <f t="shared" si="31"/>
        <v>NON</v>
      </c>
    </row>
    <row r="109" spans="1:29" s="8" customFormat="1" ht="13.5" customHeight="1" x14ac:dyDescent="0.2">
      <c r="A109" s="36">
        <f t="shared" si="32"/>
        <v>694936</v>
      </c>
      <c r="B109" s="1" t="str">
        <f>IF($B$108="","",IF(EDATE($B$108,1)&lt;=$D$17,EDATE($B$108,1),""))</f>
        <v/>
      </c>
      <c r="C109" s="88" t="str">
        <f>+IF(B109="","","Septembre"&amp;" "&amp;YEAR(B109))</f>
        <v/>
      </c>
      <c r="D109" s="101"/>
      <c r="E109" s="37"/>
      <c r="G109" s="109"/>
      <c r="H109" s="110"/>
      <c r="J109" s="88" t="str">
        <f t="shared" si="30"/>
        <v/>
      </c>
      <c r="K109" s="101"/>
      <c r="M109" s="109"/>
      <c r="AB109" s="8" t="str">
        <f t="shared" si="31"/>
        <v>NON</v>
      </c>
    </row>
    <row r="110" spans="1:29" s="8" customFormat="1" ht="13.5" customHeight="1" x14ac:dyDescent="0.2">
      <c r="A110" s="36">
        <f t="shared" si="32"/>
        <v>694966</v>
      </c>
      <c r="B110" s="1" t="str">
        <f>IF($B$109="","",IF(EDATE($B$109,1)&lt;=$D$17,EDATE($B$109,1),""))</f>
        <v/>
      </c>
      <c r="C110" s="88" t="str">
        <f>+IF(B110="","","Octobre"&amp;" "&amp;YEAR(B110))</f>
        <v/>
      </c>
      <c r="D110" s="101"/>
      <c r="E110" s="37"/>
      <c r="G110" s="109"/>
      <c r="H110" s="110"/>
      <c r="J110" s="88" t="str">
        <f t="shared" si="30"/>
        <v/>
      </c>
      <c r="K110" s="101"/>
      <c r="M110" s="109"/>
      <c r="AB110" s="8" t="str">
        <f t="shared" si="31"/>
        <v>NON</v>
      </c>
    </row>
    <row r="111" spans="1:29" s="8" customFormat="1" ht="13.5" customHeight="1" x14ac:dyDescent="0.2">
      <c r="A111" s="36">
        <f t="shared" si="32"/>
        <v>694997</v>
      </c>
      <c r="B111" s="1" t="str">
        <f>IF($B$110="","",IF(EDATE($B$110,1)&lt;=$D$17,EDATE($B$110,1),""))</f>
        <v/>
      </c>
      <c r="C111" s="88" t="str">
        <f>+IF(B111="","","Novembre"&amp;" "&amp;YEAR(B111))</f>
        <v/>
      </c>
      <c r="D111" s="101"/>
      <c r="E111" s="37"/>
      <c r="G111" s="109"/>
      <c r="H111" s="110"/>
      <c r="J111" s="88" t="str">
        <f t="shared" si="30"/>
        <v/>
      </c>
      <c r="K111" s="101"/>
      <c r="M111" s="109"/>
      <c r="AB111" s="8" t="str">
        <f t="shared" si="31"/>
        <v>NON</v>
      </c>
    </row>
    <row r="112" spans="1:29" s="8" customFormat="1" ht="13.5" customHeight="1" x14ac:dyDescent="0.2">
      <c r="A112" s="36">
        <f t="shared" si="32"/>
        <v>695027</v>
      </c>
      <c r="B112" s="1" t="str">
        <f>IF($B$111="","",IF(EDATE($B$111,1)&lt;=$D$17,EDATE($B$111,1),""))</f>
        <v/>
      </c>
      <c r="C112" s="88" t="str">
        <f>+IF(B112="","","Décembre"&amp;" "&amp;YEAR(B112))</f>
        <v/>
      </c>
      <c r="D112" s="101"/>
      <c r="E112" s="37"/>
      <c r="G112" s="109"/>
      <c r="H112" s="110"/>
      <c r="J112" s="88" t="str">
        <f t="shared" si="30"/>
        <v/>
      </c>
      <c r="K112" s="101"/>
      <c r="M112" s="109"/>
      <c r="AB112" s="8" t="str">
        <f t="shared" si="31"/>
        <v>NON</v>
      </c>
    </row>
    <row r="113" spans="1:29" s="8" customFormat="1" ht="13.5" customHeight="1" x14ac:dyDescent="0.2">
      <c r="A113" s="36">
        <f t="shared" si="32"/>
        <v>695058</v>
      </c>
      <c r="B113" s="1" t="str">
        <f>IF($B$112="","",IF(EDATE($B$112,1)&lt;=$D$17,EDATE($B$112,1),""))</f>
        <v/>
      </c>
      <c r="C113" s="88" t="str">
        <f>+IF(B113="","","Janvier"&amp;" "&amp;YEAR(B113))</f>
        <v/>
      </c>
      <c r="D113" s="101"/>
      <c r="E113" s="37"/>
      <c r="G113" s="109"/>
      <c r="H113" s="110"/>
      <c r="J113" s="88" t="str">
        <f t="shared" si="30"/>
        <v/>
      </c>
      <c r="K113" s="101"/>
      <c r="M113" s="109"/>
      <c r="AB113" s="8" t="str">
        <f t="shared" si="31"/>
        <v>NON</v>
      </c>
    </row>
    <row r="114" spans="1:29" s="8" customFormat="1" ht="13.5" customHeight="1" x14ac:dyDescent="0.2">
      <c r="A114" s="36">
        <f t="shared" si="32"/>
        <v>695089</v>
      </c>
      <c r="B114" s="1" t="str">
        <f>IF($B$113="","",IF(EDATE($B$113,1)&lt;=$D$17,EDATE($B$113,1),""))</f>
        <v/>
      </c>
      <c r="C114" s="88" t="str">
        <f>+IF(B114="","","Février"&amp;" "&amp;YEAR(B114))</f>
        <v/>
      </c>
      <c r="D114" s="101"/>
      <c r="E114" s="37"/>
      <c r="G114" s="109"/>
      <c r="H114" s="110"/>
      <c r="J114" s="88" t="str">
        <f t="shared" si="30"/>
        <v/>
      </c>
      <c r="K114" s="101"/>
      <c r="M114" s="109"/>
      <c r="AB114" s="8" t="str">
        <f t="shared" si="31"/>
        <v>NON</v>
      </c>
    </row>
    <row r="115" spans="1:29" s="8" customFormat="1" ht="13.5" customHeight="1" x14ac:dyDescent="0.2">
      <c r="A115" s="36">
        <f t="shared" si="32"/>
        <v>695117</v>
      </c>
      <c r="B115" s="1" t="str">
        <f>IF($B$114="","",IF(EDATE($B$114,1)&lt;=$D$17,EDATE($B$114,1),""))</f>
        <v/>
      </c>
      <c r="C115" s="88" t="str">
        <f>+IF(B115="","","Mars"&amp;" "&amp;YEAR(B115))</f>
        <v/>
      </c>
      <c r="D115" s="101"/>
      <c r="E115" s="37"/>
      <c r="G115" s="109"/>
      <c r="H115" s="110"/>
      <c r="J115" s="88" t="str">
        <f t="shared" si="30"/>
        <v/>
      </c>
      <c r="K115" s="101"/>
      <c r="M115" s="109"/>
      <c r="AB115" s="8" t="str">
        <f t="shared" si="31"/>
        <v>NON</v>
      </c>
    </row>
    <row r="116" spans="1:29" s="8" customFormat="1" ht="13.5" customHeight="1" x14ac:dyDescent="0.2">
      <c r="A116" s="36">
        <f t="shared" si="32"/>
        <v>695148</v>
      </c>
      <c r="B116" s="1" t="str">
        <f>IF($B$115="","",IF(EDATE($B$115,1)&lt;=$D$17,EDATE($B$115,1),""))</f>
        <v/>
      </c>
      <c r="C116" s="88" t="str">
        <f>+IF(B116="","","Avril"&amp;" "&amp;YEAR(B116))</f>
        <v/>
      </c>
      <c r="D116" s="101"/>
      <c r="E116" s="37"/>
      <c r="G116" s="109"/>
      <c r="H116" s="110"/>
      <c r="J116" s="88" t="str">
        <f t="shared" si="30"/>
        <v/>
      </c>
      <c r="K116" s="101"/>
      <c r="M116" s="109"/>
      <c r="AB116" s="8" t="str">
        <f t="shared" si="31"/>
        <v>NON</v>
      </c>
    </row>
    <row r="117" spans="1:29" s="8" customFormat="1" ht="13.5" customHeight="1" x14ac:dyDescent="0.2">
      <c r="A117" s="36">
        <f t="shared" si="32"/>
        <v>695178</v>
      </c>
      <c r="B117" s="1" t="str">
        <f>IF($B$116="","",IF(EDATE($B$116,1)&lt;=$D$17,EDATE($B$116,1),""))</f>
        <v/>
      </c>
      <c r="C117" s="88" t="str">
        <f>+IF(B117="","","Mai"&amp;" "&amp;YEAR(B117))</f>
        <v/>
      </c>
      <c r="D117" s="101"/>
      <c r="E117" s="37"/>
      <c r="G117" s="109"/>
      <c r="H117" s="110"/>
      <c r="J117" s="88" t="str">
        <f t="shared" si="30"/>
        <v/>
      </c>
      <c r="K117" s="101"/>
      <c r="M117" s="109"/>
      <c r="AB117" s="8" t="str">
        <f t="shared" si="31"/>
        <v>NON</v>
      </c>
      <c r="AC117" s="8" t="s">
        <v>81</v>
      </c>
    </row>
    <row r="118" spans="1:29" s="8" customFormat="1" ht="12.75" x14ac:dyDescent="0.2">
      <c r="A118" s="4"/>
      <c r="B118" s="6"/>
      <c r="C118" s="38" t="s">
        <v>82</v>
      </c>
      <c r="D118" s="39">
        <f>+K120</f>
        <v>0</v>
      </c>
      <c r="G118" s="40">
        <f>+M120</f>
        <v>0</v>
      </c>
    </row>
    <row r="119" spans="1:29" s="8" customFormat="1" ht="13.5" customHeight="1" x14ac:dyDescent="0.2">
      <c r="A119" s="36"/>
      <c r="B119" s="1"/>
      <c r="C119" s="41" t="s">
        <v>83</v>
      </c>
      <c r="D119" s="42"/>
      <c r="E119" s="203" t="str">
        <f>IF(ROUNDUP(SUM(D106:D118),0)+D119&gt;30,"Trop de jours enfants -15 ans","")</f>
        <v/>
      </c>
      <c r="G119" s="112">
        <f>+IF(D119&gt;0,SUM(G106:G118)/(ROUNDUP(SUM(D106:D118),0))*D119,0)</f>
        <v>0</v>
      </c>
      <c r="H119" s="118" t="str">
        <f>IF(G119&gt;0,"= "&amp;ROUND(SUM(G106:G118),2)&amp;" €  / "&amp;ROUNDUP(SUM(D106:D118),0)&amp;" jrs X "&amp;D119&amp;" jrs","")</f>
        <v/>
      </c>
      <c r="AC119" s="8" t="str">
        <f>+IF(C129="","NON","OUI")</f>
        <v>NON</v>
      </c>
    </row>
    <row r="120" spans="1:29" s="8" customFormat="1" ht="40.5" customHeight="1" thickBot="1" x14ac:dyDescent="0.25">
      <c r="A120" s="36"/>
      <c r="B120" s="1"/>
      <c r="C120" s="44" t="s">
        <v>84</v>
      </c>
      <c r="D120" s="45">
        <f>MIN(ROUNDUP(SUM(D106:D119),0),30)</f>
        <v>0</v>
      </c>
      <c r="E120" s="46">
        <f>SUM(E106:E117)</f>
        <v>0</v>
      </c>
      <c r="G120" s="57">
        <f>SUM(G106:G119)</f>
        <v>0</v>
      </c>
      <c r="H120" s="114"/>
      <c r="K120" s="39">
        <f>SUM(K106:K117)</f>
        <v>0</v>
      </c>
      <c r="M120" s="48">
        <f>SUM(M106:M117)</f>
        <v>0</v>
      </c>
    </row>
    <row r="121" spans="1:29" s="8" customFormat="1" ht="30" customHeight="1" thickBot="1" x14ac:dyDescent="0.25">
      <c r="A121" s="36"/>
      <c r="B121" s="1"/>
      <c r="C121" s="49" t="s">
        <v>85</v>
      </c>
      <c r="D121" s="50">
        <f>+D99+D120</f>
        <v>0</v>
      </c>
      <c r="E121" s="51">
        <f>+E120+E99</f>
        <v>0</v>
      </c>
      <c r="G121" s="52">
        <f>+G99+G120</f>
        <v>0</v>
      </c>
      <c r="H121" s="114"/>
      <c r="I121" s="93"/>
    </row>
    <row r="122" spans="1:29" s="8" customFormat="1" ht="9" customHeight="1" thickBot="1" x14ac:dyDescent="0.25">
      <c r="A122" s="36"/>
      <c r="B122" s="1"/>
      <c r="C122" s="58"/>
      <c r="D122" s="59"/>
      <c r="E122" s="60"/>
      <c r="G122" s="61"/>
      <c r="H122" s="114"/>
    </row>
    <row r="123" spans="1:29" s="8" customFormat="1" ht="13.5" customHeight="1" x14ac:dyDescent="0.2">
      <c r="A123" s="36"/>
      <c r="B123" s="1"/>
      <c r="C123" s="221" t="str">
        <f>+C101</f>
        <v>Pris (congés acquis : Janvier 1900 à ) :</v>
      </c>
      <c r="D123" s="222"/>
      <c r="E123" s="62">
        <f>+MIN(E57+E77+E98+E120,D57)</f>
        <v>0</v>
      </c>
      <c r="F123" s="87"/>
      <c r="G123" s="63">
        <f>+D58-(MIN(E57+E77+E98+E120,D57))</f>
        <v>0</v>
      </c>
      <c r="H123" s="64" t="str">
        <f>+H101</f>
        <v>Reste à prendre (congés acquis : Janvier 1900 à )</v>
      </c>
      <c r="K123" s="13"/>
      <c r="L123" s="13"/>
      <c r="M123" s="13"/>
      <c r="AB123" s="8" t="s">
        <v>86</v>
      </c>
      <c r="AC123" s="8" t="str">
        <f>+AS2</f>
        <v>NON</v>
      </c>
    </row>
    <row r="124" spans="1:29" s="8" customFormat="1" ht="13.5" customHeight="1" x14ac:dyDescent="0.2">
      <c r="A124" s="36"/>
      <c r="B124" s="1"/>
      <c r="C124" s="210" t="e">
        <f>+C102</f>
        <v>#VALUE!</v>
      </c>
      <c r="D124" s="211"/>
      <c r="E124" s="73">
        <f>+MIN(E77+E98+E57-E123+E120,D77)</f>
        <v>0</v>
      </c>
      <c r="F124" s="87"/>
      <c r="G124" s="70">
        <f>+D78-(MIN(E57+E77+E98+E120,D78))-G123</f>
        <v>0</v>
      </c>
      <c r="H124" s="71" t="e">
        <f>+H102</f>
        <v>#VALUE!</v>
      </c>
      <c r="K124" s="13"/>
      <c r="L124" s="13"/>
      <c r="M124" s="13"/>
    </row>
    <row r="125" spans="1:29" s="8" customFormat="1" ht="13.5" customHeight="1" x14ac:dyDescent="0.2">
      <c r="A125" s="36"/>
      <c r="B125" s="1"/>
      <c r="C125" s="210" t="e">
        <f>+C103</f>
        <v>#VALUE!</v>
      </c>
      <c r="D125" s="211"/>
      <c r="E125" s="73">
        <f>+MIN(E77+E98+E57+E120-E124-E123,D98)</f>
        <v>0</v>
      </c>
      <c r="F125" s="87"/>
      <c r="G125" s="70">
        <f>+D99-(MIN(E57+E77+E98+E120,D99))-G124-G123</f>
        <v>0</v>
      </c>
      <c r="H125" s="71" t="e">
        <f>+H103</f>
        <v>#VALUE!</v>
      </c>
      <c r="K125" s="13"/>
      <c r="L125" s="13"/>
      <c r="M125" s="13"/>
    </row>
    <row r="126" spans="1:29" s="8" customFormat="1" ht="13.5" customHeight="1" thickBot="1" x14ac:dyDescent="0.25">
      <c r="A126" s="36"/>
      <c r="B126" s="1"/>
      <c r="C126" s="212" t="e">
        <f>+"Pris (congés acquis :"&amp;PROPER(+TEXT(B106,"mmmm"))&amp;" "&amp;YEAR(B106)&amp;" à "&amp;IF(D17&gt;=B117,C117,PROPER(+TEXT(D17,"mmmm"))&amp;" "&amp;YEAR(D17))&amp;") :"</f>
        <v>#VALUE!</v>
      </c>
      <c r="D126" s="229"/>
      <c r="E126" s="65">
        <f>+E77+E57+E98+E120-E125-E124-E123</f>
        <v>0</v>
      </c>
      <c r="F126" s="87"/>
      <c r="G126" s="66">
        <f>MIN(D121-E126-E125-E124-E123,D120)</f>
        <v>0</v>
      </c>
      <c r="H126" s="67" t="e">
        <f>+"Reste à prendre (congés acquis :"&amp;PROPER(+TEXT(B106,"mmmm"))&amp;" "&amp;YEAR(B106)&amp;" à "&amp;IF(D17&gt;=B117,C117,PROPER(+TEXT(D17,"mmmm"))&amp;" "&amp;YEAR(D17))&amp;")"</f>
        <v>#VALUE!</v>
      </c>
      <c r="K126" s="13"/>
      <c r="L126" s="13"/>
      <c r="M126" s="13"/>
    </row>
    <row r="127" spans="1:29" s="8" customFormat="1" ht="13.5" customHeight="1" x14ac:dyDescent="0.2">
      <c r="A127" s="36"/>
      <c r="B127" s="1"/>
      <c r="C127" s="111"/>
      <c r="D127" s="104"/>
      <c r="E127" s="56"/>
      <c r="G127" s="116"/>
      <c r="H127" s="114"/>
      <c r="J127" s="111"/>
      <c r="K127" s="104"/>
      <c r="M127" s="116"/>
    </row>
    <row r="128" spans="1:29" s="8" customFormat="1" ht="76.5" x14ac:dyDescent="0.2">
      <c r="A128" s="4"/>
      <c r="B128" s="6"/>
      <c r="C128" s="27" t="e">
        <f>"Période de : "&amp;CHAR(10)&amp;PROPER(+TEXT(B129,"mmmm"))&amp;" "&amp;YEAR(B129)&amp;" à "&amp;IF(D17&gt;=B140,C140,PROPER(+TEXT(D17,"mmmm"))&amp;" "&amp;YEAR(D17))</f>
        <v>#VALUE!</v>
      </c>
      <c r="D128" s="27" t="str">
        <f>+D105</f>
        <v>Jours acquis dans l'année</v>
      </c>
      <c r="E128" s="28" t="s">
        <v>87</v>
      </c>
      <c r="F128" s="105"/>
      <c r="G128" s="27" t="str">
        <f>+G105</f>
        <v>Salaires bruts de l'année (hors indemnités)</v>
      </c>
      <c r="H128" s="27" t="s">
        <v>74</v>
      </c>
      <c r="J128" s="98" t="str">
        <f>+J42</f>
        <v>Mois</v>
      </c>
      <c r="K128" s="98" t="str">
        <f>+K42</f>
        <v>Jrs acquis en arrêt de maladie (2 jrs par mois)</v>
      </c>
      <c r="M128" s="98" t="str">
        <f>+M42</f>
        <v>80% des Salaires bruts correspondants à l'arrêt de maladie</v>
      </c>
      <c r="AB128" s="108" t="s">
        <v>77</v>
      </c>
    </row>
    <row r="129" spans="1:29" s="8" customFormat="1" ht="13.5" customHeight="1" x14ac:dyDescent="0.2">
      <c r="A129" s="36">
        <f>EDATE(A117,1)</f>
        <v>695209</v>
      </c>
      <c r="B129" s="1" t="str">
        <f>IF($B$117="","",IF(EDATE($B$117,1)&lt;=$D$17,EDATE($B$117,1),""))</f>
        <v/>
      </c>
      <c r="C129" s="88" t="str">
        <f>+IF(B129="","","Juin"&amp;" "&amp;YEAR(B129))</f>
        <v/>
      </c>
      <c r="D129" s="101"/>
      <c r="E129" s="37"/>
      <c r="G129" s="109"/>
      <c r="H129" s="110"/>
      <c r="J129" s="88" t="str">
        <f t="shared" ref="J129:J140" si="33">+C129</f>
        <v/>
      </c>
      <c r="K129" s="101"/>
      <c r="M129" s="109"/>
      <c r="AB129" s="8" t="str">
        <f>IF(B129="","NON",+IF(AND(DATE(YEAR(B129),MONTH(B129),1)&gt;=DATE(YEAR($D$15),MONTH($D$15),1),DATE(YEAR(B129),MONTH(B129),1)&lt;=DATE(YEAR($D$17),MONTH($D$17),1)),"OUI","NON"))</f>
        <v>NON</v>
      </c>
    </row>
    <row r="130" spans="1:29" s="8" customFormat="1" ht="13.5" customHeight="1" x14ac:dyDescent="0.2">
      <c r="A130" s="36">
        <f>EDATE(A129,1)</f>
        <v>695239</v>
      </c>
      <c r="B130" s="1" t="str">
        <f>IF($B$129="","",IF(EDATE($B$129,1)&lt;=$D$17,EDATE($B$129,1),""))</f>
        <v/>
      </c>
      <c r="C130" s="88" t="str">
        <f>+IF(B130="","","Juillet"&amp;" "&amp;YEAR(B130))</f>
        <v/>
      </c>
      <c r="D130" s="101"/>
      <c r="E130" s="37"/>
      <c r="G130" s="109"/>
      <c r="H130" s="110"/>
      <c r="J130" s="88" t="str">
        <f t="shared" si="33"/>
        <v/>
      </c>
      <c r="K130" s="101"/>
      <c r="M130" s="109"/>
      <c r="AB130" s="8" t="str">
        <f t="shared" ref="AB130:AB140" si="34">IF(B130="","NON",+IF(AND(DATE(YEAR(B130),MONTH(B130),1)&gt;=DATE(YEAR($D$15),MONTH($D$15),1),DATE(YEAR(B130),MONTH(B130),1)&lt;=DATE(YEAR($D$17),MONTH($D$17),1)),"OUI","NON"))</f>
        <v>NON</v>
      </c>
    </row>
    <row r="131" spans="1:29" s="8" customFormat="1" ht="13.5" customHeight="1" x14ac:dyDescent="0.2">
      <c r="A131" s="36">
        <f t="shared" ref="A131:A140" si="35">EDATE(A130,1)</f>
        <v>695270</v>
      </c>
      <c r="B131" s="1" t="str">
        <f>IF($B$130="","",IF(EDATE($B$130,1)&lt;=$D$17,EDATE($B$130,1),""))</f>
        <v/>
      </c>
      <c r="C131" s="88" t="str">
        <f>+IF(B131="","","Aout"&amp;" "&amp;YEAR(B131))</f>
        <v/>
      </c>
      <c r="D131" s="101"/>
      <c r="E131" s="37"/>
      <c r="G131" s="109"/>
      <c r="H131" s="110"/>
      <c r="J131" s="88" t="str">
        <f t="shared" si="33"/>
        <v/>
      </c>
      <c r="K131" s="101"/>
      <c r="M131" s="109"/>
      <c r="AB131" s="8" t="str">
        <f t="shared" si="34"/>
        <v>NON</v>
      </c>
    </row>
    <row r="132" spans="1:29" s="8" customFormat="1" ht="13.5" customHeight="1" x14ac:dyDescent="0.2">
      <c r="A132" s="36">
        <f t="shared" si="35"/>
        <v>695301</v>
      </c>
      <c r="B132" s="1" t="str">
        <f>IF($B$131="","",IF(EDATE($B$131,1)&lt;=$D$17,EDATE($B$131,1),""))</f>
        <v/>
      </c>
      <c r="C132" s="88" t="str">
        <f>+IF(B132="","","Septembre"&amp;" "&amp;YEAR(B132))</f>
        <v/>
      </c>
      <c r="D132" s="101"/>
      <c r="E132" s="37"/>
      <c r="G132" s="109"/>
      <c r="H132" s="110"/>
      <c r="J132" s="88" t="str">
        <f t="shared" si="33"/>
        <v/>
      </c>
      <c r="K132" s="101"/>
      <c r="M132" s="109"/>
      <c r="AB132" s="8" t="str">
        <f t="shared" si="34"/>
        <v>NON</v>
      </c>
    </row>
    <row r="133" spans="1:29" s="8" customFormat="1" ht="13.5" customHeight="1" x14ac:dyDescent="0.2">
      <c r="A133" s="36">
        <f t="shared" si="35"/>
        <v>695331</v>
      </c>
      <c r="B133" s="1" t="str">
        <f>IF($B$132="","",IF(EDATE($B$132,1)&lt;=$D$17,EDATE($B$132,1),""))</f>
        <v/>
      </c>
      <c r="C133" s="88" t="str">
        <f>+IF(B133="","","Octobre"&amp;" "&amp;YEAR(B133))</f>
        <v/>
      </c>
      <c r="D133" s="101"/>
      <c r="E133" s="37"/>
      <c r="G133" s="109"/>
      <c r="H133" s="110"/>
      <c r="J133" s="88" t="str">
        <f t="shared" si="33"/>
        <v/>
      </c>
      <c r="K133" s="101"/>
      <c r="M133" s="109"/>
      <c r="AB133" s="8" t="str">
        <f t="shared" si="34"/>
        <v>NON</v>
      </c>
    </row>
    <row r="134" spans="1:29" s="8" customFormat="1" ht="13.5" customHeight="1" x14ac:dyDescent="0.2">
      <c r="A134" s="36">
        <f t="shared" si="35"/>
        <v>695362</v>
      </c>
      <c r="B134" s="1" t="str">
        <f>IF($B$133="","",IF(EDATE($B$133,1)&lt;=$D$17,EDATE($B$133,1),""))</f>
        <v/>
      </c>
      <c r="C134" s="88" t="str">
        <f>+IF(B134="","","Novembre"&amp;" "&amp;YEAR(B134))</f>
        <v/>
      </c>
      <c r="D134" s="101"/>
      <c r="E134" s="37"/>
      <c r="G134" s="109"/>
      <c r="H134" s="110"/>
      <c r="J134" s="88" t="str">
        <f t="shared" si="33"/>
        <v/>
      </c>
      <c r="K134" s="101"/>
      <c r="M134" s="109"/>
      <c r="AB134" s="8" t="str">
        <f t="shared" si="34"/>
        <v>NON</v>
      </c>
    </row>
    <row r="135" spans="1:29" s="8" customFormat="1" ht="13.5" customHeight="1" x14ac:dyDescent="0.2">
      <c r="A135" s="36">
        <f t="shared" si="35"/>
        <v>695392</v>
      </c>
      <c r="B135" s="1" t="str">
        <f>IF($B$134="","",IF(EDATE($B$134,1)&lt;=$D$17,EDATE($B$134,1),""))</f>
        <v/>
      </c>
      <c r="C135" s="88" t="str">
        <f>+IF(B135="","","Décembre"&amp;" "&amp;YEAR(B135))</f>
        <v/>
      </c>
      <c r="D135" s="101"/>
      <c r="E135" s="37"/>
      <c r="G135" s="109"/>
      <c r="H135" s="110"/>
      <c r="J135" s="88" t="str">
        <f t="shared" si="33"/>
        <v/>
      </c>
      <c r="K135" s="101"/>
      <c r="M135" s="109"/>
      <c r="AB135" s="8" t="str">
        <f t="shared" si="34"/>
        <v>NON</v>
      </c>
    </row>
    <row r="136" spans="1:29" s="8" customFormat="1" ht="13.5" customHeight="1" x14ac:dyDescent="0.2">
      <c r="A136" s="36">
        <f t="shared" si="35"/>
        <v>695423</v>
      </c>
      <c r="B136" s="1" t="str">
        <f>IF($B$135="","",IF(EDATE($B$135,1)&lt;=$D$17,EDATE($B$135,1),""))</f>
        <v/>
      </c>
      <c r="C136" s="88" t="str">
        <f>+IF(B136="","","Janvier"&amp;" "&amp;YEAR(B136))</f>
        <v/>
      </c>
      <c r="D136" s="101"/>
      <c r="E136" s="37"/>
      <c r="G136" s="109"/>
      <c r="H136" s="110"/>
      <c r="J136" s="88" t="str">
        <f t="shared" si="33"/>
        <v/>
      </c>
      <c r="K136" s="101"/>
      <c r="M136" s="109"/>
      <c r="AB136" s="8" t="str">
        <f t="shared" si="34"/>
        <v>NON</v>
      </c>
    </row>
    <row r="137" spans="1:29" s="8" customFormat="1" ht="13.5" customHeight="1" x14ac:dyDescent="0.2">
      <c r="A137" s="36">
        <f t="shared" si="35"/>
        <v>695454</v>
      </c>
      <c r="B137" s="1" t="str">
        <f>IF($B$136="","",IF(EDATE($B$136,1)&lt;=$D$17,EDATE($B$136,1),""))</f>
        <v/>
      </c>
      <c r="C137" s="88" t="str">
        <f>+IF(B137="","","Février"&amp;" "&amp;YEAR(B137))</f>
        <v/>
      </c>
      <c r="D137" s="101"/>
      <c r="E137" s="37"/>
      <c r="G137" s="109"/>
      <c r="H137" s="110"/>
      <c r="J137" s="88" t="str">
        <f t="shared" si="33"/>
        <v/>
      </c>
      <c r="K137" s="101"/>
      <c r="M137" s="109"/>
      <c r="AB137" s="8" t="str">
        <f t="shared" si="34"/>
        <v>NON</v>
      </c>
    </row>
    <row r="138" spans="1:29" s="8" customFormat="1" ht="13.5" customHeight="1" x14ac:dyDescent="0.2">
      <c r="A138" s="36">
        <f t="shared" si="35"/>
        <v>695483</v>
      </c>
      <c r="B138" s="1" t="str">
        <f>IF($B$137="","",IF(EDATE($B$137,1)&lt;=$D$17,EDATE($B$137,1),""))</f>
        <v/>
      </c>
      <c r="C138" s="88" t="str">
        <f>+IF(B138="","","Mars"&amp;" "&amp;YEAR(B138))</f>
        <v/>
      </c>
      <c r="D138" s="101"/>
      <c r="E138" s="37"/>
      <c r="G138" s="109"/>
      <c r="H138" s="110"/>
      <c r="J138" s="88" t="str">
        <f t="shared" si="33"/>
        <v/>
      </c>
      <c r="K138" s="101"/>
      <c r="M138" s="109"/>
      <c r="AB138" s="8" t="str">
        <f t="shared" si="34"/>
        <v>NON</v>
      </c>
    </row>
    <row r="139" spans="1:29" s="8" customFormat="1" ht="13.5" customHeight="1" x14ac:dyDescent="0.2">
      <c r="A139" s="36">
        <f t="shared" si="35"/>
        <v>695514</v>
      </c>
      <c r="B139" s="1" t="str">
        <f>IF($B$138="","",IF(EDATE($B$138,1)&lt;=$D$17,EDATE($B$138,1),""))</f>
        <v/>
      </c>
      <c r="C139" s="88" t="str">
        <f>+IF(B139="","","Avril"&amp;" "&amp;YEAR(B139))</f>
        <v/>
      </c>
      <c r="D139" s="101"/>
      <c r="E139" s="37"/>
      <c r="G139" s="109"/>
      <c r="H139" s="110"/>
      <c r="J139" s="88" t="str">
        <f t="shared" si="33"/>
        <v/>
      </c>
      <c r="K139" s="101"/>
      <c r="M139" s="109"/>
      <c r="AB139" s="8" t="str">
        <f t="shared" si="34"/>
        <v>NON</v>
      </c>
    </row>
    <row r="140" spans="1:29" s="8" customFormat="1" ht="13.5" customHeight="1" x14ac:dyDescent="0.2">
      <c r="A140" s="36">
        <f t="shared" si="35"/>
        <v>695544</v>
      </c>
      <c r="B140" s="1" t="str">
        <f>IF($B$139="","",IF(EDATE($B$139,1)&lt;=$D$17,EDATE($B$139,1),""))</f>
        <v/>
      </c>
      <c r="C140" s="88" t="str">
        <f>+IF(B140="","","Mai"&amp;" "&amp;YEAR(B140))</f>
        <v/>
      </c>
      <c r="D140" s="101"/>
      <c r="E140" s="37"/>
      <c r="G140" s="109"/>
      <c r="H140" s="110"/>
      <c r="J140" s="88" t="str">
        <f t="shared" si="33"/>
        <v/>
      </c>
      <c r="K140" s="101"/>
      <c r="M140" s="109"/>
      <c r="AB140" s="8" t="str">
        <f t="shared" si="34"/>
        <v>NON</v>
      </c>
      <c r="AC140" s="8" t="s">
        <v>81</v>
      </c>
    </row>
    <row r="141" spans="1:29" s="8" customFormat="1" ht="13.5" customHeight="1" x14ac:dyDescent="0.2">
      <c r="A141" s="4"/>
      <c r="B141" s="6"/>
      <c r="C141" s="38" t="s">
        <v>82</v>
      </c>
      <c r="D141" s="39">
        <f>+K143</f>
        <v>0</v>
      </c>
      <c r="G141" s="40">
        <f>+M143</f>
        <v>0</v>
      </c>
      <c r="H141" s="119"/>
    </row>
    <row r="142" spans="1:29" s="8" customFormat="1" ht="12.75" x14ac:dyDescent="0.2">
      <c r="A142" s="4"/>
      <c r="B142" s="6"/>
      <c r="C142" s="41" t="s">
        <v>83</v>
      </c>
      <c r="D142" s="42"/>
      <c r="E142" s="203" t="str">
        <f>IF(ROUNDUP(SUM(D129:D141),0)+D142&gt;30,"Trop de jours enfants -15 ans","")</f>
        <v/>
      </c>
      <c r="G142" s="112">
        <f>+IF(D142&gt;0,SUM(G129:G141)/(ROUNDUP(SUM(D129:D141),0))*D142,0)</f>
        <v>0</v>
      </c>
      <c r="H142" s="118" t="str">
        <f>IF(G142&gt;0,"= "&amp;ROUND(SUM(G129:G141),2)&amp;" €  / "&amp;ROUNDUP(SUM(D129:D141),0)&amp;" jrs X "&amp;D142&amp;" jrs","")</f>
        <v/>
      </c>
      <c r="AC142" s="8" t="str">
        <f>+IF(C153="","NON","OUI")</f>
        <v>NON</v>
      </c>
    </row>
    <row r="143" spans="1:29" s="8" customFormat="1" ht="40.5" customHeight="1" thickBot="1" x14ac:dyDescent="0.25">
      <c r="A143" s="36"/>
      <c r="B143" s="1"/>
      <c r="C143" s="44" t="s">
        <v>84</v>
      </c>
      <c r="D143" s="45">
        <f>MIN(ROUNDUP(SUM(D129:D142),0),30)</f>
        <v>0</v>
      </c>
      <c r="E143" s="46">
        <f>SUM(E129:E140)</f>
        <v>0</v>
      </c>
      <c r="G143" s="47">
        <f>SUM(G129:G141)</f>
        <v>0</v>
      </c>
      <c r="H143" s="114"/>
      <c r="K143" s="39">
        <f>SUM(K129:K140)</f>
        <v>0</v>
      </c>
      <c r="M143" s="48">
        <f>SUM(M129:M140)</f>
        <v>0</v>
      </c>
    </row>
    <row r="144" spans="1:29" s="8" customFormat="1" ht="30.75" customHeight="1" thickBot="1" x14ac:dyDescent="0.25">
      <c r="A144" s="36"/>
      <c r="B144" s="1"/>
      <c r="C144" s="49" t="s">
        <v>85</v>
      </c>
      <c r="D144" s="50">
        <f>+D121+D143</f>
        <v>0</v>
      </c>
      <c r="E144" s="51">
        <f>+E143+E121</f>
        <v>0</v>
      </c>
      <c r="G144" s="52">
        <f>+G121+G143</f>
        <v>0</v>
      </c>
      <c r="H144" s="114"/>
      <c r="I144" s="9"/>
    </row>
    <row r="145" spans="1:29" s="8" customFormat="1" ht="9" customHeight="1" thickBot="1" x14ac:dyDescent="0.25">
      <c r="A145" s="36"/>
      <c r="B145" s="1"/>
      <c r="C145" s="58"/>
      <c r="D145" s="59"/>
      <c r="E145" s="60"/>
      <c r="G145" s="61"/>
      <c r="H145" s="114"/>
      <c r="I145" s="2"/>
    </row>
    <row r="146" spans="1:29" s="8" customFormat="1" ht="13.5" customHeight="1" x14ac:dyDescent="0.2">
      <c r="A146" s="36"/>
      <c r="B146" s="1"/>
      <c r="C146" s="221" t="str">
        <f>+C123</f>
        <v>Pris (congés acquis : Janvier 1900 à ) :</v>
      </c>
      <c r="D146" s="222"/>
      <c r="E146" s="62">
        <f>+MIN(E57+E77+E98+E120+E143,D57)</f>
        <v>0</v>
      </c>
      <c r="F146" s="87"/>
      <c r="G146" s="63">
        <f>+D58-(MIN(E57+E77+E98+E120+E143,D57))</f>
        <v>0</v>
      </c>
      <c r="H146" s="64" t="str">
        <f>+H123</f>
        <v>Reste à prendre (congés acquis : Janvier 1900 à )</v>
      </c>
      <c r="K146" s="13"/>
      <c r="L146" s="13"/>
      <c r="M146" s="13"/>
      <c r="AB146" s="8" t="s">
        <v>86</v>
      </c>
      <c r="AC146" s="8" t="str">
        <f>+AT2</f>
        <v>NON</v>
      </c>
    </row>
    <row r="147" spans="1:29" s="8" customFormat="1" ht="13.5" customHeight="1" x14ac:dyDescent="0.2">
      <c r="A147" s="36"/>
      <c r="B147" s="1"/>
      <c r="C147" s="210" t="e">
        <f>+C124</f>
        <v>#VALUE!</v>
      </c>
      <c r="D147" s="211"/>
      <c r="E147" s="73">
        <f>+MIN(E77+E98+E57-E146+E120+E143,D77)</f>
        <v>0</v>
      </c>
      <c r="F147" s="87"/>
      <c r="G147" s="70">
        <f>+D78-(MIN(E57+E77+E98+E120+E143,D78))-G146</f>
        <v>0</v>
      </c>
      <c r="H147" s="74" t="e">
        <f>+H124</f>
        <v>#VALUE!</v>
      </c>
      <c r="K147" s="13"/>
      <c r="L147" s="13"/>
      <c r="M147" s="13"/>
    </row>
    <row r="148" spans="1:29" s="8" customFormat="1" ht="13.5" customHeight="1" x14ac:dyDescent="0.2">
      <c r="A148" s="36"/>
      <c r="B148" s="1"/>
      <c r="C148" s="210" t="e">
        <f>+C125</f>
        <v>#VALUE!</v>
      </c>
      <c r="D148" s="211"/>
      <c r="E148" s="73">
        <f>+MIN(E77+E98+E57+E120+E143-E147-E146,D98)</f>
        <v>0</v>
      </c>
      <c r="F148" s="87"/>
      <c r="G148" s="70">
        <f>+D99-(MIN(E57+E77+E98+E120+E143,D99))-G147-G146</f>
        <v>0</v>
      </c>
      <c r="H148" s="74" t="e">
        <f>+H125</f>
        <v>#VALUE!</v>
      </c>
      <c r="K148" s="13"/>
      <c r="L148" s="13"/>
      <c r="M148" s="13"/>
    </row>
    <row r="149" spans="1:29" s="8" customFormat="1" ht="13.5" customHeight="1" x14ac:dyDescent="0.2">
      <c r="A149" s="36"/>
      <c r="B149" s="1"/>
      <c r="C149" s="210" t="e">
        <f>+C126</f>
        <v>#VALUE!</v>
      </c>
      <c r="D149" s="211"/>
      <c r="E149" s="73">
        <f>+MIN(E77+E98+E57+E120+E143-E148-E147-E146,D120)</f>
        <v>0</v>
      </c>
      <c r="F149" s="87"/>
      <c r="G149" s="70">
        <f>+D121-(MIN(E57+E77+E98+E120+E143,D121))-G148-G147-G146</f>
        <v>0</v>
      </c>
      <c r="H149" s="74" t="e">
        <f>+H126</f>
        <v>#VALUE!</v>
      </c>
      <c r="K149" s="13"/>
      <c r="L149" s="13"/>
      <c r="M149" s="13"/>
    </row>
    <row r="150" spans="1:29" s="8" customFormat="1" ht="13.5" customHeight="1" thickBot="1" x14ac:dyDescent="0.25">
      <c r="A150" s="36"/>
      <c r="B150" s="1"/>
      <c r="C150" s="212" t="e">
        <f>+"Pris (congés acquis : "&amp;PROPER(+TEXT(B129,"mmmm"))&amp;" "&amp;YEAR(B129)&amp;" à "&amp;IF(D17&gt;=B140,C140,PROPER(+TEXT(D17,"mmmm"))&amp;" "&amp;YEAR(D17))&amp;") :"</f>
        <v>#VALUE!</v>
      </c>
      <c r="D150" s="213"/>
      <c r="E150" s="65">
        <f>+E77+E57+E98+E120+E143-E149-E148-E147-E146</f>
        <v>0</v>
      </c>
      <c r="F150" s="87"/>
      <c r="G150" s="66">
        <f>MIN(D144-E150-E149-E148-E147-E146,D143)</f>
        <v>0</v>
      </c>
      <c r="H150" s="67" t="e">
        <f>+"Reste à prendre (congés acquis : "&amp;PROPER(+TEXT(B129,"mmmm"))&amp;" "&amp;YEAR(B129)&amp;" à "&amp;IF(D17&gt;=B140,C140,PROPER(+TEXT(D17,"mmmm"))&amp;" "&amp;YEAR(D17))&amp;")"</f>
        <v>#VALUE!</v>
      </c>
      <c r="K150" s="13"/>
      <c r="L150" s="13"/>
      <c r="M150" s="13"/>
    </row>
    <row r="151" spans="1:29" s="8" customFormat="1" ht="12.75" x14ac:dyDescent="0.2">
      <c r="B151" s="6"/>
    </row>
    <row r="152" spans="1:29" s="8" customFormat="1" ht="76.5" x14ac:dyDescent="0.2">
      <c r="A152" s="4"/>
      <c r="B152" s="6"/>
      <c r="C152" s="27" t="e">
        <f>"Période de : "&amp;CHAR(10)&amp;PROPER(+TEXT(B153,"mmmm"))&amp;" "&amp;YEAR(B153)&amp;" à "&amp;IF(D17&gt;=B164,C164,PROPER(+TEXT(D17,"mmmm"))&amp;" "&amp;YEAR(D17))</f>
        <v>#VALUE!</v>
      </c>
      <c r="D152" s="27" t="str">
        <f>+D128</f>
        <v>Jours acquis dans l'année</v>
      </c>
      <c r="E152" s="28" t="s">
        <v>87</v>
      </c>
      <c r="F152" s="105"/>
      <c r="G152" s="27" t="str">
        <f>+G128</f>
        <v>Salaires bruts de l'année (hors indemnités)</v>
      </c>
      <c r="H152" s="27" t="s">
        <v>74</v>
      </c>
      <c r="J152" s="98" t="str">
        <f>+J128</f>
        <v>Mois</v>
      </c>
      <c r="K152" s="98" t="str">
        <f>+K128</f>
        <v>Jrs acquis en arrêt de maladie (2 jrs par mois)</v>
      </c>
      <c r="M152" s="98" t="str">
        <f>+M128</f>
        <v>80% des Salaires bruts correspondants à l'arrêt de maladie</v>
      </c>
      <c r="AB152" s="108" t="s">
        <v>77</v>
      </c>
    </row>
    <row r="153" spans="1:29" s="8" customFormat="1" ht="13.5" customHeight="1" x14ac:dyDescent="0.2">
      <c r="A153" s="36">
        <f>EDATE(A140,1)</f>
        <v>695575</v>
      </c>
      <c r="B153" s="1" t="str">
        <f>IF($B$140="","",IF(EDATE($B$140,1)&lt;=$D$17,EDATE($B$140,1),""))</f>
        <v/>
      </c>
      <c r="C153" s="88" t="str">
        <f>+IF(B153="","","Juin"&amp;" "&amp;YEAR(B153))</f>
        <v/>
      </c>
      <c r="D153" s="101"/>
      <c r="E153" s="37"/>
      <c r="G153" s="109"/>
      <c r="H153" s="110"/>
      <c r="J153" s="88" t="str">
        <f t="shared" ref="J153:J164" si="36">+C153</f>
        <v/>
      </c>
      <c r="K153" s="101"/>
      <c r="M153" s="109"/>
      <c r="AB153" s="8" t="str">
        <f>IF(B153="","NON",+IF(AND(DATE(YEAR(B153),MONTH(B153),1)&gt;=DATE(YEAR($D$15),MONTH($D$15),1),DATE(YEAR(B153),MONTH(B153),1)&lt;=DATE(YEAR($D$17),MONTH($D$17),1)),"OUI","NON"))</f>
        <v>NON</v>
      </c>
    </row>
    <row r="154" spans="1:29" s="8" customFormat="1" ht="13.5" customHeight="1" x14ac:dyDescent="0.2">
      <c r="A154" s="36">
        <f>EDATE(A153,1)</f>
        <v>695605</v>
      </c>
      <c r="B154" s="1" t="str">
        <f>IF($B$153="","",IF(EDATE($B$153,1)&lt;=$D$17,EDATE($B$153,1),""))</f>
        <v/>
      </c>
      <c r="C154" s="88" t="str">
        <f>+IF(B154="","","Juillet"&amp;" "&amp;YEAR(B154))</f>
        <v/>
      </c>
      <c r="D154" s="101"/>
      <c r="E154" s="37"/>
      <c r="G154" s="109"/>
      <c r="H154" s="110"/>
      <c r="J154" s="88" t="str">
        <f t="shared" si="36"/>
        <v/>
      </c>
      <c r="K154" s="101"/>
      <c r="M154" s="109"/>
      <c r="AB154" s="8" t="str">
        <f t="shared" ref="AB154:AB164" si="37">IF(B154="","NON",+IF(AND(DATE(YEAR(B154),MONTH(B154),1)&gt;=DATE(YEAR($D$15),MONTH($D$15),1),DATE(YEAR(B154),MONTH(B154),1)&lt;=DATE(YEAR($D$17),MONTH($D$17),1)),"OUI","NON"))</f>
        <v>NON</v>
      </c>
    </row>
    <row r="155" spans="1:29" s="8" customFormat="1" ht="13.5" customHeight="1" x14ac:dyDescent="0.2">
      <c r="A155" s="36">
        <f t="shared" ref="A155:A164" si="38">EDATE(A154,1)</f>
        <v>695636</v>
      </c>
      <c r="B155" s="1" t="str">
        <f>IF($B$154="","",IF(EDATE($B$154,1)&lt;=$D$17,EDATE($B$154,1),""))</f>
        <v/>
      </c>
      <c r="C155" s="88" t="str">
        <f>+IF(B155="","","Aout"&amp;" "&amp;YEAR(B155))</f>
        <v/>
      </c>
      <c r="D155" s="101"/>
      <c r="E155" s="37"/>
      <c r="G155" s="109"/>
      <c r="H155" s="110"/>
      <c r="J155" s="88" t="str">
        <f t="shared" si="36"/>
        <v/>
      </c>
      <c r="K155" s="101"/>
      <c r="M155" s="109"/>
      <c r="AB155" s="8" t="str">
        <f t="shared" si="37"/>
        <v>NON</v>
      </c>
    </row>
    <row r="156" spans="1:29" s="8" customFormat="1" ht="13.5" customHeight="1" x14ac:dyDescent="0.2">
      <c r="A156" s="36">
        <f t="shared" si="38"/>
        <v>695667</v>
      </c>
      <c r="B156" s="1" t="str">
        <f>IF($B$155="","",IF(EDATE($B$155,1)&lt;=$D$17,EDATE($B$155,1),""))</f>
        <v/>
      </c>
      <c r="C156" s="88" t="str">
        <f>+IF(B156="","","Septembre"&amp;" "&amp;YEAR(B156))</f>
        <v/>
      </c>
      <c r="D156" s="101"/>
      <c r="E156" s="37"/>
      <c r="G156" s="109"/>
      <c r="H156" s="110"/>
      <c r="J156" s="88" t="str">
        <f t="shared" si="36"/>
        <v/>
      </c>
      <c r="K156" s="101"/>
      <c r="M156" s="109"/>
      <c r="AB156" s="8" t="str">
        <f t="shared" si="37"/>
        <v>NON</v>
      </c>
    </row>
    <row r="157" spans="1:29" s="8" customFormat="1" ht="13.5" customHeight="1" x14ac:dyDescent="0.2">
      <c r="A157" s="36">
        <f t="shared" si="38"/>
        <v>695697</v>
      </c>
      <c r="B157" s="1" t="str">
        <f>IF($B$156="","",IF(EDATE($B$156,1)&lt;=$D$17,EDATE($B$156,1),""))</f>
        <v/>
      </c>
      <c r="C157" s="88" t="str">
        <f>+IF(B157="","","Octobre"&amp;" "&amp;YEAR(B157))</f>
        <v/>
      </c>
      <c r="D157" s="101"/>
      <c r="E157" s="37"/>
      <c r="G157" s="109"/>
      <c r="H157" s="110"/>
      <c r="J157" s="88" t="str">
        <f t="shared" si="36"/>
        <v/>
      </c>
      <c r="K157" s="101"/>
      <c r="M157" s="109"/>
      <c r="AB157" s="8" t="str">
        <f t="shared" si="37"/>
        <v>NON</v>
      </c>
    </row>
    <row r="158" spans="1:29" s="8" customFormat="1" ht="13.5" customHeight="1" x14ac:dyDescent="0.2">
      <c r="A158" s="36">
        <f t="shared" si="38"/>
        <v>695728</v>
      </c>
      <c r="B158" s="1" t="str">
        <f>IF($B$157="","",IF(EDATE($B$157,1)&lt;=$D$17,EDATE($B$157,1),""))</f>
        <v/>
      </c>
      <c r="C158" s="88" t="str">
        <f>+IF(B158="","","Novembre"&amp;" "&amp;YEAR(B158))</f>
        <v/>
      </c>
      <c r="D158" s="101"/>
      <c r="E158" s="37"/>
      <c r="G158" s="109"/>
      <c r="H158" s="110"/>
      <c r="J158" s="88" t="str">
        <f t="shared" si="36"/>
        <v/>
      </c>
      <c r="K158" s="101"/>
      <c r="M158" s="109"/>
      <c r="AB158" s="8" t="str">
        <f t="shared" si="37"/>
        <v>NON</v>
      </c>
    </row>
    <row r="159" spans="1:29" s="8" customFormat="1" ht="13.5" customHeight="1" x14ac:dyDescent="0.2">
      <c r="A159" s="36">
        <f t="shared" si="38"/>
        <v>695758</v>
      </c>
      <c r="B159" s="1" t="str">
        <f>IF($B$158="","",IF(EDATE($B$158,1)&lt;=$D$17,EDATE($B$158,1),""))</f>
        <v/>
      </c>
      <c r="C159" s="88" t="str">
        <f>+IF(B159="","","Décembre"&amp;" "&amp;YEAR(B159))</f>
        <v/>
      </c>
      <c r="D159" s="101"/>
      <c r="E159" s="37"/>
      <c r="G159" s="109"/>
      <c r="H159" s="110"/>
      <c r="J159" s="88" t="str">
        <f t="shared" si="36"/>
        <v/>
      </c>
      <c r="K159" s="101"/>
      <c r="M159" s="109"/>
      <c r="AB159" s="8" t="str">
        <f t="shared" si="37"/>
        <v>NON</v>
      </c>
    </row>
    <row r="160" spans="1:29" s="8" customFormat="1" ht="13.5" customHeight="1" x14ac:dyDescent="0.2">
      <c r="A160" s="36">
        <f t="shared" si="38"/>
        <v>695789</v>
      </c>
      <c r="B160" s="1" t="str">
        <f>IF($B$159="","",IF(EDATE($B$159,1)&lt;=$D$17,EDATE($B$159,1),""))</f>
        <v/>
      </c>
      <c r="C160" s="88" t="str">
        <f>+IF(B160="","","Janvier"&amp;" "&amp;YEAR(B160))</f>
        <v/>
      </c>
      <c r="D160" s="101"/>
      <c r="E160" s="37"/>
      <c r="G160" s="109"/>
      <c r="H160" s="110"/>
      <c r="J160" s="88" t="str">
        <f t="shared" si="36"/>
        <v/>
      </c>
      <c r="K160" s="101"/>
      <c r="M160" s="109"/>
      <c r="AB160" s="8" t="str">
        <f t="shared" si="37"/>
        <v>NON</v>
      </c>
    </row>
    <row r="161" spans="1:29" s="8" customFormat="1" ht="13.5" customHeight="1" x14ac:dyDescent="0.2">
      <c r="A161" s="36">
        <f t="shared" si="38"/>
        <v>695820</v>
      </c>
      <c r="B161" s="1" t="str">
        <f>IF($B$160="","",IF(EDATE($B$160,1)&lt;=$D$17,EDATE($B$160,1),""))</f>
        <v/>
      </c>
      <c r="C161" s="88" t="str">
        <f>+IF(B161="","","Février"&amp;" "&amp;YEAR(B161))</f>
        <v/>
      </c>
      <c r="D161" s="101"/>
      <c r="E161" s="37"/>
      <c r="G161" s="109"/>
      <c r="H161" s="110"/>
      <c r="J161" s="88" t="str">
        <f t="shared" si="36"/>
        <v/>
      </c>
      <c r="K161" s="101"/>
      <c r="M161" s="109"/>
      <c r="AB161" s="8" t="str">
        <f t="shared" si="37"/>
        <v>NON</v>
      </c>
    </row>
    <row r="162" spans="1:29" s="8" customFormat="1" ht="13.5" customHeight="1" x14ac:dyDescent="0.2">
      <c r="A162" s="36">
        <f t="shared" si="38"/>
        <v>695848</v>
      </c>
      <c r="B162" s="1" t="str">
        <f>IF($B$161="","",IF(EDATE($B$161,1)&lt;=$D$17,EDATE($B$161,1),""))</f>
        <v/>
      </c>
      <c r="C162" s="88" t="str">
        <f>+IF(B162="","","Mars"&amp;" "&amp;YEAR(B162))</f>
        <v/>
      </c>
      <c r="D162" s="101"/>
      <c r="E162" s="37"/>
      <c r="G162" s="109"/>
      <c r="H162" s="110"/>
      <c r="J162" s="88" t="str">
        <f t="shared" si="36"/>
        <v/>
      </c>
      <c r="K162" s="101"/>
      <c r="M162" s="109"/>
      <c r="AB162" s="8" t="str">
        <f t="shared" si="37"/>
        <v>NON</v>
      </c>
    </row>
    <row r="163" spans="1:29" s="8" customFormat="1" ht="13.5" customHeight="1" x14ac:dyDescent="0.2">
      <c r="A163" s="36">
        <f t="shared" si="38"/>
        <v>695879</v>
      </c>
      <c r="B163" s="1" t="str">
        <f>IF($B$162="","",IF(EDATE($B$162,1)&lt;=$D$17,EDATE($B$162,1),""))</f>
        <v/>
      </c>
      <c r="C163" s="88" t="str">
        <f>+IF(B163="","","Avril"&amp;" "&amp;YEAR(B163))</f>
        <v/>
      </c>
      <c r="D163" s="101"/>
      <c r="E163" s="37"/>
      <c r="G163" s="109"/>
      <c r="H163" s="110"/>
      <c r="J163" s="88" t="str">
        <f t="shared" si="36"/>
        <v/>
      </c>
      <c r="K163" s="101"/>
      <c r="M163" s="109"/>
      <c r="AB163" s="8" t="str">
        <f t="shared" si="37"/>
        <v>NON</v>
      </c>
    </row>
    <row r="164" spans="1:29" s="8" customFormat="1" ht="13.5" customHeight="1" x14ac:dyDescent="0.2">
      <c r="A164" s="36">
        <f t="shared" si="38"/>
        <v>695909</v>
      </c>
      <c r="B164" s="1" t="str">
        <f>IF($B$163="","",IF(EDATE($B$163,1)&lt;=$D$17,EDATE($B$163,1),""))</f>
        <v/>
      </c>
      <c r="C164" s="88" t="str">
        <f>+IF(B164="","","Mai"&amp;" "&amp;YEAR(B164))</f>
        <v/>
      </c>
      <c r="D164" s="101"/>
      <c r="E164" s="37"/>
      <c r="G164" s="109"/>
      <c r="H164" s="110"/>
      <c r="J164" s="88" t="str">
        <f t="shared" si="36"/>
        <v/>
      </c>
      <c r="K164" s="101"/>
      <c r="M164" s="109"/>
      <c r="AB164" s="8" t="str">
        <f t="shared" si="37"/>
        <v>NON</v>
      </c>
    </row>
    <row r="165" spans="1:29" s="8" customFormat="1" ht="13.5" customHeight="1" x14ac:dyDescent="0.2">
      <c r="A165" s="4"/>
      <c r="B165" s="6"/>
      <c r="C165" s="38" t="s">
        <v>82</v>
      </c>
      <c r="D165" s="39">
        <f>+K167</f>
        <v>0</v>
      </c>
      <c r="G165" s="40">
        <f>+M167</f>
        <v>0</v>
      </c>
      <c r="H165" s="119"/>
    </row>
    <row r="166" spans="1:29" s="8" customFormat="1" ht="12.75" x14ac:dyDescent="0.2">
      <c r="A166" s="4"/>
      <c r="B166" s="6"/>
      <c r="C166" s="75"/>
      <c r="D166" s="76"/>
      <c r="E166" s="43"/>
      <c r="G166" s="120"/>
      <c r="H166" s="119" t="str">
        <f>IF(G166&gt;0,"= "&amp;ROUND(SUM(G153:G164),2)&amp;" € / "&amp;SUM(D153:D164)&amp;" jrs X "&amp;D166&amp;" jrs X 0,10","")</f>
        <v/>
      </c>
    </row>
    <row r="167" spans="1:29" s="8" customFormat="1" ht="40.5" customHeight="1" thickBot="1" x14ac:dyDescent="0.25">
      <c r="A167" s="36"/>
      <c r="B167" s="1"/>
      <c r="C167" s="44" t="s">
        <v>84</v>
      </c>
      <c r="D167" s="45">
        <f>MIN(ROUNDUP(SUM(D153:D165),0),30)</f>
        <v>0</v>
      </c>
      <c r="E167" s="46">
        <f>SUM(E153:E164)</f>
        <v>0</v>
      </c>
      <c r="G167" s="47">
        <f>SUM(G153:G165)</f>
        <v>0</v>
      </c>
      <c r="H167" s="114"/>
      <c r="K167" s="39">
        <f>SUM(K153:K164)</f>
        <v>0</v>
      </c>
      <c r="M167" s="48">
        <f>SUM(M153:M164)</f>
        <v>0</v>
      </c>
    </row>
    <row r="168" spans="1:29" s="8" customFormat="1" ht="30.75" customHeight="1" thickBot="1" x14ac:dyDescent="0.25">
      <c r="A168" s="36"/>
      <c r="B168" s="1"/>
      <c r="C168" s="49" t="s">
        <v>85</v>
      </c>
      <c r="D168" s="50">
        <f>+D144+D167</f>
        <v>0</v>
      </c>
      <c r="E168" s="51">
        <f>+E167+E144</f>
        <v>0</v>
      </c>
      <c r="G168" s="52">
        <f>+G144+G167</f>
        <v>0</v>
      </c>
      <c r="H168" s="114"/>
      <c r="I168" s="9"/>
    </row>
    <row r="169" spans="1:29" s="8" customFormat="1" ht="9" customHeight="1" thickBot="1" x14ac:dyDescent="0.25">
      <c r="A169" s="36"/>
      <c r="B169" s="1"/>
      <c r="C169" s="58"/>
      <c r="D169" s="59"/>
      <c r="E169" s="60"/>
      <c r="G169" s="61"/>
      <c r="H169" s="114"/>
      <c r="I169" s="2"/>
    </row>
    <row r="170" spans="1:29" s="8" customFormat="1" ht="13.5" customHeight="1" x14ac:dyDescent="0.2">
      <c r="A170" s="36"/>
      <c r="B170" s="1"/>
      <c r="C170" s="221" t="str">
        <f>+C146</f>
        <v>Pris (congés acquis : Janvier 1900 à ) :</v>
      </c>
      <c r="D170" s="222"/>
      <c r="E170" s="62">
        <f>+MIN(E57+E77+E98+E120+E143+E167,D57)</f>
        <v>0</v>
      </c>
      <c r="F170" s="87"/>
      <c r="G170" s="63">
        <f>+D58-(MIN(E57+E77+E98+E120+E143+E167,D57))</f>
        <v>0</v>
      </c>
      <c r="H170" s="64" t="str">
        <f>+H146</f>
        <v>Reste à prendre (congés acquis : Janvier 1900 à )</v>
      </c>
      <c r="K170" s="13"/>
      <c r="L170" s="13"/>
      <c r="M170" s="13"/>
      <c r="AB170" s="8" t="s">
        <v>86</v>
      </c>
      <c r="AC170" s="8" t="str">
        <f>+AU2</f>
        <v>NON</v>
      </c>
    </row>
    <row r="171" spans="1:29" s="8" customFormat="1" ht="13.5" customHeight="1" x14ac:dyDescent="0.2">
      <c r="A171" s="36"/>
      <c r="B171" s="1"/>
      <c r="C171" s="210" t="e">
        <f>+C147</f>
        <v>#VALUE!</v>
      </c>
      <c r="D171" s="211"/>
      <c r="E171" s="73">
        <f>+MIN(E77+E98+E57-E170+E120+E143+E167,D77)</f>
        <v>0</v>
      </c>
      <c r="F171" s="87"/>
      <c r="G171" s="70">
        <f>+D78-(MIN(E57+E77+E98+E120+E143+E167,D78))-G170</f>
        <v>0</v>
      </c>
      <c r="H171" s="74" t="e">
        <f>+H147</f>
        <v>#VALUE!</v>
      </c>
      <c r="K171" s="13"/>
      <c r="L171" s="13"/>
      <c r="M171" s="13"/>
    </row>
    <row r="172" spans="1:29" s="8" customFormat="1" ht="13.5" customHeight="1" x14ac:dyDescent="0.2">
      <c r="A172" s="36"/>
      <c r="B172" s="1"/>
      <c r="C172" s="210" t="e">
        <f>+C148</f>
        <v>#VALUE!</v>
      </c>
      <c r="D172" s="211"/>
      <c r="E172" s="73">
        <f>+MIN(E77+E98+E57+E120+E143+E167-E170-E171,D98)</f>
        <v>0</v>
      </c>
      <c r="F172" s="87"/>
      <c r="G172" s="70">
        <f>+D99-(MIN(E57+E77+E98+E120+E143+E167,D99))-G171-G170</f>
        <v>0</v>
      </c>
      <c r="H172" s="74" t="e">
        <f>+H148</f>
        <v>#VALUE!</v>
      </c>
      <c r="K172" s="13"/>
      <c r="L172" s="13"/>
      <c r="M172" s="13"/>
    </row>
    <row r="173" spans="1:29" s="8" customFormat="1" ht="13.5" customHeight="1" x14ac:dyDescent="0.2">
      <c r="A173" s="36"/>
      <c r="B173" s="1"/>
      <c r="C173" s="210" t="e">
        <f>+C149</f>
        <v>#VALUE!</v>
      </c>
      <c r="D173" s="211"/>
      <c r="E173" s="73">
        <f>+MIN(E77+E98+E57+E120+E143+E167-E170-E171-E172,D120)</f>
        <v>0</v>
      </c>
      <c r="F173" s="87"/>
      <c r="G173" s="70">
        <f>+D121-(MIN(E57+E77+E98+E120+E143+E167,D121))-G172-G171-G170</f>
        <v>0</v>
      </c>
      <c r="H173" s="74" t="e">
        <f>+H149</f>
        <v>#VALUE!</v>
      </c>
      <c r="K173" s="13"/>
      <c r="L173" s="13"/>
      <c r="M173" s="13"/>
    </row>
    <row r="174" spans="1:29" s="8" customFormat="1" ht="13.5" customHeight="1" x14ac:dyDescent="0.2">
      <c r="A174" s="36"/>
      <c r="B174" s="1"/>
      <c r="C174" s="210" t="e">
        <f>+C150</f>
        <v>#VALUE!</v>
      </c>
      <c r="D174" s="211"/>
      <c r="E174" s="73">
        <f>+MIN(E77+E98+E57+E120+E143+E167-E170-E171-E172-E173,D143)</f>
        <v>0</v>
      </c>
      <c r="F174" s="87"/>
      <c r="G174" s="70">
        <f>+D144-(MIN(E57+E77+E98+E120+E143+E167,D144))-G172-G171-G170-G173</f>
        <v>0</v>
      </c>
      <c r="H174" s="74" t="e">
        <f>+H150</f>
        <v>#VALUE!</v>
      </c>
      <c r="K174" s="13"/>
      <c r="L174" s="13"/>
      <c r="M174" s="13"/>
    </row>
    <row r="175" spans="1:29" s="8" customFormat="1" ht="13.5" customHeight="1" thickBot="1" x14ac:dyDescent="0.25">
      <c r="A175" s="36"/>
      <c r="B175" s="1"/>
      <c r="C175" s="212" t="e">
        <f>+"Pris (congés acquis : "&amp;PROPER(+TEXT(B153,"mmmm"))&amp;" "&amp;YEAR(B153)&amp;" à "&amp;IF(D17&gt;=B164,C164,PROPER(+TEXT(D17,"mmmm"))&amp;" "&amp;YEAR(D17))&amp;") :"</f>
        <v>#VALUE!</v>
      </c>
      <c r="D175" s="213"/>
      <c r="E175" s="65">
        <f>+E77+E57+E98+E120+E143+E167-E170-E171-E172-E173-E174</f>
        <v>0</v>
      </c>
      <c r="F175" s="87"/>
      <c r="G175" s="66">
        <f>MIN(D168-E175-E174-E173-E172-E171-E170,D167)</f>
        <v>0</v>
      </c>
      <c r="H175" s="67" t="e">
        <f>+"Reste à prendre (congés acquis : "&amp;PROPER(+TEXT(B153,"mmmm"))&amp;" "&amp;YEAR(B153)&amp;" à "&amp;IF(D17&gt;=B164,C164,PROPER(+TEXT(D17,"mmmm"))&amp;" "&amp;YEAR(D17))&amp;")"</f>
        <v>#VALUE!</v>
      </c>
      <c r="K175" s="13"/>
      <c r="L175" s="13"/>
      <c r="M175" s="13"/>
    </row>
    <row r="176" spans="1:29" s="8" customFormat="1" ht="12.75" x14ac:dyDescent="0.2">
      <c r="B176" s="6"/>
    </row>
    <row r="177" spans="2:2" s="8" customFormat="1" ht="12.75" x14ac:dyDescent="0.2">
      <c r="B177" s="6"/>
    </row>
    <row r="178" spans="2:2" s="8" customFormat="1" ht="12.75" x14ac:dyDescent="0.2">
      <c r="B178" s="6"/>
    </row>
    <row r="179" spans="2:2" s="8" customFormat="1" ht="12.75" x14ac:dyDescent="0.2">
      <c r="B179" s="6"/>
    </row>
    <row r="180" spans="2:2" s="8" customFormat="1" ht="12.75" x14ac:dyDescent="0.2">
      <c r="B180" s="6"/>
    </row>
    <row r="181" spans="2:2" s="8" customFormat="1" ht="12.75" x14ac:dyDescent="0.2">
      <c r="B181" s="6"/>
    </row>
    <row r="182" spans="2:2" s="8" customFormat="1" ht="12.75" x14ac:dyDescent="0.2">
      <c r="B182" s="6"/>
    </row>
    <row r="183" spans="2:2" s="8" customFormat="1" ht="12.75" x14ac:dyDescent="0.2">
      <c r="B183" s="6"/>
    </row>
    <row r="184" spans="2:2" s="8" customFormat="1" ht="12.75" x14ac:dyDescent="0.2">
      <c r="B184" s="6"/>
    </row>
    <row r="185" spans="2:2" s="8" customFormat="1" ht="12.75" x14ac:dyDescent="0.2">
      <c r="B185" s="6"/>
    </row>
    <row r="186" spans="2:2" s="8" customFormat="1" ht="12.75" x14ac:dyDescent="0.2">
      <c r="B186" s="6"/>
    </row>
    <row r="187" spans="2:2" s="8" customFormat="1" ht="12.75" x14ac:dyDescent="0.2">
      <c r="B187" s="6"/>
    </row>
    <row r="188" spans="2:2" s="8" customFormat="1" ht="12.75" x14ac:dyDescent="0.2">
      <c r="B188" s="6"/>
    </row>
    <row r="189" spans="2:2" s="8" customFormat="1" ht="12.75" x14ac:dyDescent="0.2">
      <c r="B189" s="6"/>
    </row>
    <row r="190" spans="2:2" s="8" customFormat="1" ht="12.75" x14ac:dyDescent="0.2">
      <c r="B190" s="6"/>
    </row>
    <row r="191" spans="2:2" s="8" customFormat="1" ht="12.75" x14ac:dyDescent="0.2">
      <c r="B191" s="6"/>
    </row>
    <row r="192" spans="2:2" s="8" customFormat="1" ht="12.75" x14ac:dyDescent="0.2">
      <c r="B192" s="6"/>
    </row>
    <row r="193" spans="2:2" s="8" customFormat="1" ht="12.75" x14ac:dyDescent="0.2">
      <c r="B193" s="6"/>
    </row>
    <row r="194" spans="2:2" s="8" customFormat="1" ht="12.75" x14ac:dyDescent="0.2">
      <c r="B194" s="6"/>
    </row>
    <row r="195" spans="2:2" s="8" customFormat="1" ht="12.75" x14ac:dyDescent="0.2">
      <c r="B195" s="6"/>
    </row>
    <row r="196" spans="2:2" s="8" customFormat="1" ht="12.75" x14ac:dyDescent="0.2">
      <c r="B196" s="6"/>
    </row>
    <row r="197" spans="2:2" s="8" customFormat="1" ht="12.75" x14ac:dyDescent="0.2">
      <c r="B197" s="6"/>
    </row>
    <row r="198" spans="2:2" s="8" customFormat="1" ht="12.75" x14ac:dyDescent="0.2">
      <c r="B198" s="6"/>
    </row>
    <row r="199" spans="2:2" s="8" customFormat="1" ht="12.75" x14ac:dyDescent="0.2">
      <c r="B199" s="6"/>
    </row>
    <row r="200" spans="2:2" s="8" customFormat="1" ht="12.75" x14ac:dyDescent="0.2">
      <c r="B200" s="6"/>
    </row>
    <row r="201" spans="2:2" s="8" customFormat="1" ht="12.75" x14ac:dyDescent="0.2">
      <c r="B201" s="6"/>
    </row>
    <row r="202" spans="2:2" s="8" customFormat="1" ht="12.75" x14ac:dyDescent="0.2">
      <c r="B202" s="6"/>
    </row>
    <row r="203" spans="2:2" s="8" customFormat="1" ht="12.75" x14ac:dyDescent="0.2">
      <c r="B203" s="6"/>
    </row>
    <row r="204" spans="2:2" s="8" customFormat="1" ht="12.75" x14ac:dyDescent="0.2">
      <c r="B204" s="6"/>
    </row>
    <row r="205" spans="2:2" s="8" customFormat="1" ht="12.75" x14ac:dyDescent="0.2">
      <c r="B205" s="6"/>
    </row>
    <row r="206" spans="2:2" s="8" customFormat="1" ht="12.75" x14ac:dyDescent="0.2">
      <c r="B206" s="6"/>
    </row>
    <row r="207" spans="2:2" s="8" customFormat="1" ht="12.75" x14ac:dyDescent="0.2">
      <c r="B207" s="6"/>
    </row>
    <row r="208" spans="2:2" s="8" customFormat="1" ht="12.75" x14ac:dyDescent="0.2">
      <c r="B208" s="6"/>
    </row>
    <row r="209" spans="2:2" s="8" customFormat="1" ht="12.75" x14ac:dyDescent="0.2">
      <c r="B209" s="6"/>
    </row>
    <row r="210" spans="2:2" s="8" customFormat="1" ht="12.75" x14ac:dyDescent="0.2">
      <c r="B210" s="6"/>
    </row>
    <row r="211" spans="2:2" s="8" customFormat="1" ht="12.75" x14ac:dyDescent="0.2">
      <c r="B211" s="6"/>
    </row>
    <row r="212" spans="2:2" s="8" customFormat="1" ht="12.75" x14ac:dyDescent="0.2">
      <c r="B212" s="6"/>
    </row>
    <row r="213" spans="2:2" s="8" customFormat="1" ht="12.75" x14ac:dyDescent="0.2">
      <c r="B213" s="6"/>
    </row>
    <row r="214" spans="2:2" s="8" customFormat="1" ht="12.75" x14ac:dyDescent="0.2">
      <c r="B214" s="6"/>
    </row>
    <row r="215" spans="2:2" s="8" customFormat="1" ht="12.75" x14ac:dyDescent="0.2">
      <c r="B215" s="6"/>
    </row>
    <row r="216" spans="2:2" s="8" customFormat="1" ht="12.75" x14ac:dyDescent="0.2">
      <c r="B216" s="6"/>
    </row>
    <row r="217" spans="2:2" s="8" customFormat="1" ht="12.75" x14ac:dyDescent="0.2">
      <c r="B217" s="6"/>
    </row>
    <row r="218" spans="2:2" s="8" customFormat="1" ht="12.75" x14ac:dyDescent="0.2">
      <c r="B218" s="6"/>
    </row>
    <row r="219" spans="2:2" s="8" customFormat="1" ht="12.75" x14ac:dyDescent="0.2">
      <c r="B219" s="6"/>
    </row>
    <row r="220" spans="2:2" s="8" customFormat="1" ht="12.75" x14ac:dyDescent="0.2">
      <c r="B220" s="6"/>
    </row>
    <row r="221" spans="2:2" s="8" customFormat="1" ht="12.75" x14ac:dyDescent="0.2">
      <c r="B221" s="6"/>
    </row>
    <row r="222" spans="2:2" s="8" customFormat="1" ht="12.75" x14ac:dyDescent="0.2">
      <c r="B222" s="6"/>
    </row>
    <row r="223" spans="2:2" s="8" customFormat="1" ht="12.75" x14ac:dyDescent="0.2">
      <c r="B223" s="6"/>
    </row>
    <row r="224" spans="2:2" s="8" customFormat="1" ht="12.75" x14ac:dyDescent="0.2">
      <c r="B224" s="6"/>
    </row>
    <row r="225" spans="2:2" s="8" customFormat="1" ht="12.75" x14ac:dyDescent="0.2">
      <c r="B225" s="6"/>
    </row>
    <row r="226" spans="2:2" s="8" customFormat="1" ht="12.75" x14ac:dyDescent="0.2">
      <c r="B226" s="6"/>
    </row>
    <row r="227" spans="2:2" s="8" customFormat="1" ht="12.75" x14ac:dyDescent="0.2">
      <c r="B227" s="6"/>
    </row>
    <row r="228" spans="2:2" s="8" customFormat="1" ht="12.75" x14ac:dyDescent="0.2">
      <c r="B228" s="6"/>
    </row>
    <row r="229" spans="2:2" s="8" customFormat="1" ht="12.75" x14ac:dyDescent="0.2">
      <c r="B229" s="6"/>
    </row>
    <row r="230" spans="2:2" s="8" customFormat="1" ht="12.75" x14ac:dyDescent="0.2">
      <c r="B230" s="6"/>
    </row>
    <row r="231" spans="2:2" s="8" customFormat="1" ht="12.75" x14ac:dyDescent="0.2">
      <c r="B231" s="6"/>
    </row>
    <row r="232" spans="2:2" s="8" customFormat="1" ht="12.75" x14ac:dyDescent="0.2">
      <c r="B232" s="6"/>
    </row>
    <row r="233" spans="2:2" s="8" customFormat="1" ht="12.75" x14ac:dyDescent="0.2">
      <c r="B233" s="6"/>
    </row>
    <row r="234" spans="2:2" s="8" customFormat="1" ht="12.75" x14ac:dyDescent="0.2">
      <c r="B234" s="6"/>
    </row>
    <row r="235" spans="2:2" s="8" customFormat="1" ht="12.75" x14ac:dyDescent="0.2">
      <c r="B235" s="6"/>
    </row>
    <row r="236" spans="2:2" s="8" customFormat="1" ht="12.75" x14ac:dyDescent="0.2">
      <c r="B236" s="6"/>
    </row>
    <row r="237" spans="2:2" s="8" customFormat="1" ht="12.75" x14ac:dyDescent="0.2">
      <c r="B237" s="6"/>
    </row>
    <row r="238" spans="2:2" s="8" customFormat="1" ht="12.75" x14ac:dyDescent="0.2">
      <c r="B238" s="6"/>
    </row>
    <row r="239" spans="2:2" s="8" customFormat="1" ht="12.75" x14ac:dyDescent="0.2">
      <c r="B239" s="6"/>
    </row>
    <row r="240" spans="2:2" s="8" customFormat="1" ht="12.75" x14ac:dyDescent="0.2">
      <c r="B240" s="6"/>
    </row>
    <row r="241" spans="2:47" s="8" customFormat="1" ht="12.75" x14ac:dyDescent="0.2">
      <c r="B241" s="6"/>
    </row>
    <row r="242" spans="2:47" s="8" customFormat="1" ht="12.75" x14ac:dyDescent="0.2">
      <c r="B242" s="6"/>
    </row>
    <row r="243" spans="2:47" s="8" customFormat="1" ht="12.75" x14ac:dyDescent="0.2">
      <c r="B243" s="6"/>
    </row>
    <row r="244" spans="2:47" s="8" customFormat="1" ht="12.75" x14ac:dyDescent="0.2">
      <c r="B244" s="6"/>
    </row>
    <row r="245" spans="2:47" s="8" customFormat="1" ht="12.75" x14ac:dyDescent="0.2">
      <c r="B245" s="6"/>
    </row>
    <row r="246" spans="2:47" s="8" customFormat="1" ht="12.75" x14ac:dyDescent="0.2">
      <c r="B246" s="6"/>
    </row>
    <row r="247" spans="2:47" s="8" customFormat="1" ht="12.75" x14ac:dyDescent="0.2">
      <c r="B247" s="6"/>
    </row>
    <row r="248" spans="2:47" s="8" customFormat="1" x14ac:dyDescent="0.2">
      <c r="B248" s="6"/>
      <c r="AN248" s="77"/>
      <c r="AO248" s="77"/>
      <c r="AP248" s="77"/>
      <c r="AQ248" s="77"/>
      <c r="AR248" s="77"/>
      <c r="AS248" s="77"/>
      <c r="AT248" s="77"/>
      <c r="AU248" s="77"/>
    </row>
  </sheetData>
  <sheetProtection algorithmName="SHA-512" hashValue="Vec4uXV2VqIecHaUCgIIR7gX1m9ya3PEdv4ntag0sm3xL4F6JN/qMU+7+ZLwpbNrGbnj1Eem/QbZgNc4IByn8g==" saltValue="gtVMu3olt+moB0tVeXjfhg==" spinCount="100000" sheet="1" objects="1" scenarios="1" formatCells="0" formatColumns="0" formatRows="0" insertColumns="0" insertRows="0" insertHyperlinks="0" sort="0" autoFilter="0" pivotTables="0"/>
  <mergeCells count="52">
    <mergeCell ref="C11:D11"/>
    <mergeCell ref="C1:H1"/>
    <mergeCell ref="C2:I2"/>
    <mergeCell ref="D4:G4"/>
    <mergeCell ref="D6:G6"/>
    <mergeCell ref="C9:D9"/>
    <mergeCell ref="C13:D13"/>
    <mergeCell ref="F13:H13"/>
    <mergeCell ref="C19:E19"/>
    <mergeCell ref="C21:E21"/>
    <mergeCell ref="G21:H21"/>
    <mergeCell ref="D28:E28"/>
    <mergeCell ref="G28:H28"/>
    <mergeCell ref="D30:E30"/>
    <mergeCell ref="C32:E32"/>
    <mergeCell ref="G32:H32"/>
    <mergeCell ref="C23:C30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J40:N40"/>
    <mergeCell ref="C59:D59"/>
    <mergeCell ref="C60:D60"/>
    <mergeCell ref="C80:D80"/>
    <mergeCell ref="C81:D81"/>
    <mergeCell ref="C175:D175"/>
    <mergeCell ref="C170:D170"/>
    <mergeCell ref="C102:D102"/>
    <mergeCell ref="C103:D103"/>
    <mergeCell ref="C123:D123"/>
    <mergeCell ref="C124:D124"/>
    <mergeCell ref="C125:D125"/>
    <mergeCell ref="C126:D126"/>
    <mergeCell ref="C146:D146"/>
    <mergeCell ref="C147:D147"/>
    <mergeCell ref="C148:D148"/>
    <mergeCell ref="C149:D149"/>
    <mergeCell ref="C150:D150"/>
    <mergeCell ref="D29:E29"/>
    <mergeCell ref="C171:D171"/>
    <mergeCell ref="C172:D172"/>
    <mergeCell ref="C173:D173"/>
    <mergeCell ref="C174:D174"/>
    <mergeCell ref="C101:D101"/>
    <mergeCell ref="C33:F33"/>
  </mergeCells>
  <conditionalFormatting sqref="C56:D56 G56:H56">
    <cfRule type="expression" dxfId="160" priority="27">
      <formula>$AC$56="NON"</formula>
    </cfRule>
  </conditionalFormatting>
  <conditionalFormatting sqref="C76:D76 G76:H76">
    <cfRule type="expression" dxfId="159" priority="36">
      <formula>$AC$76="NON"</formula>
    </cfRule>
  </conditionalFormatting>
  <conditionalFormatting sqref="C97:D97 G97:H97">
    <cfRule type="expression" dxfId="158" priority="30">
      <formula>$AC$97="NON"</formula>
    </cfRule>
  </conditionalFormatting>
  <conditionalFormatting sqref="C142:D142">
    <cfRule type="expression" dxfId="157" priority="3">
      <formula>$AC$141="NON"</formula>
    </cfRule>
  </conditionalFormatting>
  <conditionalFormatting sqref="C63:E74 G63:H74 G84:H95 G106:H117 C43:E54 G43:H54">
    <cfRule type="expression" dxfId="156" priority="44">
      <formula>$AB43="NON"</formula>
    </cfRule>
  </conditionalFormatting>
  <conditionalFormatting sqref="C84:E95">
    <cfRule type="expression" dxfId="155" priority="43">
      <formula>$AB84="NON"</formula>
    </cfRule>
  </conditionalFormatting>
  <conditionalFormatting sqref="C101:E101">
    <cfRule type="expression" dxfId="154" priority="12">
      <formula>$AC$102="NON"</formula>
    </cfRule>
  </conditionalFormatting>
  <conditionalFormatting sqref="C106:E117">
    <cfRule type="expression" dxfId="153" priority="42">
      <formula>$AB106="NON"</formula>
    </cfRule>
  </conditionalFormatting>
  <conditionalFormatting sqref="C129:E140">
    <cfRule type="expression" dxfId="152" priority="41">
      <formula>$AB129="NON"</formula>
    </cfRule>
  </conditionalFormatting>
  <conditionalFormatting sqref="C153:E164">
    <cfRule type="expression" dxfId="151" priority="8">
      <formula>$AB153="NON"</formula>
    </cfRule>
  </conditionalFormatting>
  <conditionalFormatting sqref="C60:H60">
    <cfRule type="expression" dxfId="150" priority="16">
      <formula>$AC$60="NON"</formula>
    </cfRule>
  </conditionalFormatting>
  <conditionalFormatting sqref="C80:H81">
    <cfRule type="expression" dxfId="149" priority="15">
      <formula>$AC$80="NON"</formula>
    </cfRule>
  </conditionalFormatting>
  <conditionalFormatting sqref="C101:H103">
    <cfRule type="expression" dxfId="148" priority="10">
      <formula>$AC$102="NON"</formula>
    </cfRule>
  </conditionalFormatting>
  <conditionalFormatting sqref="C123:H126">
    <cfRule type="expression" dxfId="147" priority="14">
      <formula>$AC$123="NON"</formula>
    </cfRule>
  </conditionalFormatting>
  <conditionalFormatting sqref="C142:H142">
    <cfRule type="expression" dxfId="146" priority="2">
      <formula>$C$106=""</formula>
    </cfRule>
  </conditionalFormatting>
  <conditionalFormatting sqref="C146:H150">
    <cfRule type="expression" dxfId="145" priority="49">
      <formula>$AC$146="NON"</formula>
    </cfRule>
  </conditionalFormatting>
  <conditionalFormatting sqref="C170:H175">
    <cfRule type="expression" dxfId="144" priority="48">
      <formula>$AC$170="NON"</formula>
    </cfRule>
  </conditionalFormatting>
  <conditionalFormatting sqref="C62:M81 E123:H126">
    <cfRule type="expression" dxfId="143" priority="25">
      <formula>$C$63=""</formula>
    </cfRule>
  </conditionalFormatting>
  <conditionalFormatting sqref="C83:M103">
    <cfRule type="expression" dxfId="142" priority="24">
      <formula>$C$84=""</formula>
    </cfRule>
  </conditionalFormatting>
  <conditionalFormatting sqref="C100:M101">
    <cfRule type="expression" dxfId="141" priority="21">
      <formula>$C$63=""</formula>
    </cfRule>
  </conditionalFormatting>
  <conditionalFormatting sqref="C105:M126">
    <cfRule type="expression" dxfId="140" priority="23">
      <formula>$C$106=""</formula>
    </cfRule>
  </conditionalFormatting>
  <conditionalFormatting sqref="C122:M122">
    <cfRule type="expression" dxfId="139" priority="20">
      <formula>$C$63=""</formula>
    </cfRule>
  </conditionalFormatting>
  <conditionalFormatting sqref="C128:M145">
    <cfRule type="expression" dxfId="138" priority="28">
      <formula>$C$129=""</formula>
    </cfRule>
  </conditionalFormatting>
  <conditionalFormatting sqref="C145:M145">
    <cfRule type="expression" dxfId="137" priority="19">
      <formula>$C$63=""</formula>
    </cfRule>
  </conditionalFormatting>
  <conditionalFormatting sqref="C152:M175">
    <cfRule type="expression" dxfId="136" priority="5">
      <formula>$C$153=""</formula>
    </cfRule>
  </conditionalFormatting>
  <conditionalFormatting sqref="C169:M169">
    <cfRule type="expression" dxfId="135" priority="4">
      <formula>$C$63=""</formula>
    </cfRule>
  </conditionalFormatting>
  <conditionalFormatting sqref="D57">
    <cfRule type="cellIs" dxfId="134" priority="26" operator="greaterThan">
      <formula>30</formula>
    </cfRule>
  </conditionalFormatting>
  <conditionalFormatting sqref="D142">
    <cfRule type="notContainsBlanks" dxfId="133" priority="50">
      <formula>LEN(TRIM(D142))&gt;0</formula>
    </cfRule>
  </conditionalFormatting>
  <conditionalFormatting sqref="E101">
    <cfRule type="expression" dxfId="132" priority="13">
      <formula>$C$63=""</formula>
    </cfRule>
  </conditionalFormatting>
  <conditionalFormatting sqref="E80:H81">
    <cfRule type="expression" dxfId="131" priority="22">
      <formula>$C$63=""</formula>
    </cfRule>
  </conditionalFormatting>
  <conditionalFormatting sqref="E101:H103">
    <cfRule type="expression" dxfId="130" priority="11">
      <formula>$C$63=""</formula>
    </cfRule>
  </conditionalFormatting>
  <conditionalFormatting sqref="F23:F29">
    <cfRule type="expression" dxfId="129" priority="1">
      <formula>D23=""</formula>
    </cfRule>
  </conditionalFormatting>
  <conditionalFormatting sqref="G101">
    <cfRule type="expression" dxfId="128" priority="46">
      <formula>$AC$102="NON"</formula>
    </cfRule>
    <cfRule type="expression" dxfId="127" priority="47">
      <formula>$C$63=""</formula>
    </cfRule>
  </conditionalFormatting>
  <conditionalFormatting sqref="G129:H140 D43:E54 G43:H54 D63:E74 G63:H74 G84:H95 G106:H117 D84:E95 D106:E117 D129:E140 K63:K74 K84:K95 K106:K117 K43:K54 D76 M84:M95 M106:M117 K129:K140 M43:M54 M129:M140 D97 D119 D56 M63:M74 D4:G4 D6:G6 E9:F9 D15 D17 D37:D38">
    <cfRule type="notContainsBlanks" dxfId="126" priority="52">
      <formula>LEN(TRIM(D4))&gt;0</formula>
    </cfRule>
  </conditionalFormatting>
  <conditionalFormatting sqref="G129:H140">
    <cfRule type="expression" dxfId="125" priority="45">
      <formula>$AB129="NON"</formula>
    </cfRule>
  </conditionalFormatting>
  <conditionalFormatting sqref="G142:H142 C119:D119 G119:H119">
    <cfRule type="expression" dxfId="124" priority="29">
      <formula>$AC$119="NON"</formula>
    </cfRule>
  </conditionalFormatting>
  <conditionalFormatting sqref="G153:H164 D153:E164 K153:K164 M153:M164">
    <cfRule type="notContainsBlanks" dxfId="123" priority="51">
      <formula>LEN(TRIM(D153))&gt;0</formula>
    </cfRule>
  </conditionalFormatting>
  <conditionalFormatting sqref="G153:H164">
    <cfRule type="expression" dxfId="122" priority="9">
      <formula>$AB153="NON"</formula>
    </cfRule>
  </conditionalFormatting>
  <conditionalFormatting sqref="J43:K54">
    <cfRule type="expression" dxfId="121" priority="37">
      <formula>$AB43="NON"</formula>
    </cfRule>
  </conditionalFormatting>
  <conditionalFormatting sqref="J63:K74">
    <cfRule type="expression" dxfId="120" priority="40">
      <formula>$AB63="NON"</formula>
    </cfRule>
  </conditionalFormatting>
  <conditionalFormatting sqref="J84:K95">
    <cfRule type="expression" dxfId="119" priority="39">
      <formula>$AB84="NON"</formula>
    </cfRule>
  </conditionalFormatting>
  <conditionalFormatting sqref="J106:K117">
    <cfRule type="expression" dxfId="118" priority="38">
      <formula>$AB106="NON"</formula>
    </cfRule>
  </conditionalFormatting>
  <conditionalFormatting sqref="J129:K140">
    <cfRule type="expression" dxfId="117" priority="33">
      <formula>$AB129="NON"</formula>
    </cfRule>
  </conditionalFormatting>
  <conditionalFormatting sqref="J153:K164">
    <cfRule type="expression" dxfId="116" priority="7">
      <formula>$AB153="NON"</formula>
    </cfRule>
  </conditionalFormatting>
  <conditionalFormatting sqref="K2">
    <cfRule type="containsBlanks" dxfId="115" priority="18">
      <formula>LEN(TRIM(K2))=0</formula>
    </cfRule>
  </conditionalFormatting>
  <conditionalFormatting sqref="M43:M54">
    <cfRule type="expression" dxfId="114" priority="32">
      <formula>$AB43="NON"</formula>
    </cfRule>
  </conditionalFormatting>
  <conditionalFormatting sqref="M84:M95">
    <cfRule type="expression" dxfId="113" priority="35">
      <formula>$AB84="NON"</formula>
    </cfRule>
  </conditionalFormatting>
  <conditionalFormatting sqref="M106:M117">
    <cfRule type="expression" dxfId="112" priority="34">
      <formula>$AB106="NON"</formula>
    </cfRule>
  </conditionalFormatting>
  <conditionalFormatting sqref="M129:M140">
    <cfRule type="expression" dxfId="111" priority="31">
      <formula>$AB129="NON"</formula>
    </cfRule>
  </conditionalFormatting>
  <conditionalFormatting sqref="M153:M164">
    <cfRule type="expression" dxfId="110" priority="6">
      <formula>$AB153="NON"</formula>
    </cfRule>
  </conditionalFormatting>
  <conditionalFormatting sqref="AE2:AF2">
    <cfRule type="expression" dxfId="109" priority="17">
      <formula>$C$63=""</formula>
    </cfRule>
  </conditionalFormatting>
  <dataValidations count="1">
    <dataValidation type="list" showInputMessage="1" showErrorMessage="1" sqref="K2" xr:uid="{EF4A2301-06F3-4AD9-8139-39D25ED0D153}">
      <formula1>"NET,BRUT"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FFBA5-1F1E-491F-A105-656550C28B4F}">
  <sheetPr>
    <tabColor theme="0" tint="-0.499984740745262"/>
    <pageSetUpPr fitToPage="1"/>
  </sheetPr>
  <dimension ref="A1:DC219"/>
  <sheetViews>
    <sheetView showGridLines="0" topLeftCell="B1" zoomScaleNormal="100" workbookViewId="0">
      <selection activeCell="E69" sqref="E69:E74"/>
    </sheetView>
  </sheetViews>
  <sheetFormatPr baseColWidth="10" defaultRowHeight="14.25" x14ac:dyDescent="0.2"/>
  <cols>
    <col min="1" max="1" width="10.140625" style="77" hidden="1" customWidth="1"/>
    <col min="2" max="2" width="3.85546875" style="6" customWidth="1"/>
    <col min="3" max="3" width="34.140625" style="77" customWidth="1"/>
    <col min="4" max="4" width="15.85546875" style="77" customWidth="1"/>
    <col min="5" max="5" width="12.85546875" style="77" customWidth="1"/>
    <col min="6" max="6" width="13.140625" style="77" customWidth="1"/>
    <col min="7" max="7" width="16.42578125" style="77" customWidth="1"/>
    <col min="8" max="8" width="15.28515625" style="77" customWidth="1"/>
    <col min="9" max="9" width="4.85546875" style="77" customWidth="1"/>
    <col min="10" max="10" width="18.42578125" style="77" bestFit="1" customWidth="1"/>
    <col min="11" max="11" width="40.85546875" style="77" customWidth="1"/>
    <col min="12" max="12" width="4.42578125" style="77" customWidth="1"/>
    <col min="13" max="13" width="18.28515625" style="77" customWidth="1"/>
    <col min="14" max="15" width="11.42578125" style="77"/>
    <col min="16" max="16" width="15.42578125" style="77" customWidth="1"/>
    <col min="17" max="49" width="5.85546875" style="77" customWidth="1"/>
    <col min="50" max="50" width="6" style="77" hidden="1" customWidth="1"/>
    <col min="51" max="51" width="11.42578125" style="77" hidden="1" customWidth="1"/>
    <col min="52" max="69" width="11.140625" style="77" hidden="1" customWidth="1"/>
    <col min="70" max="107" width="20.7109375" style="77" hidden="1" customWidth="1"/>
    <col min="108" max="16384" width="11.42578125" style="77"/>
  </cols>
  <sheetData>
    <row r="1" spans="2:99" ht="34.5" customHeight="1" x14ac:dyDescent="0.2">
      <c r="C1" s="225" t="s">
        <v>89</v>
      </c>
      <c r="D1" s="225"/>
      <c r="E1" s="225"/>
      <c r="F1" s="225"/>
      <c r="G1" s="225"/>
      <c r="H1" s="225"/>
      <c r="I1" s="225"/>
      <c r="J1" s="225"/>
      <c r="K1" s="225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9"/>
      <c r="CN1" s="79"/>
      <c r="CO1" s="79"/>
      <c r="CP1" s="79"/>
      <c r="CQ1" s="80"/>
      <c r="CR1" s="81"/>
      <c r="CS1" s="81"/>
      <c r="CT1" s="81"/>
      <c r="CU1" s="81"/>
    </row>
    <row r="2" spans="2:99" ht="15.75" x14ac:dyDescent="0.25">
      <c r="C2" s="226" t="s">
        <v>98</v>
      </c>
      <c r="D2" s="226"/>
      <c r="E2" s="226"/>
      <c r="F2" s="226"/>
      <c r="G2" s="226"/>
      <c r="H2" s="226"/>
      <c r="I2" s="226"/>
      <c r="J2" s="11" t="s">
        <v>12</v>
      </c>
      <c r="K2" s="188" t="s">
        <v>97</v>
      </c>
      <c r="L2" s="13" t="s">
        <v>13</v>
      </c>
      <c r="CO2" s="5"/>
      <c r="CP2" s="83"/>
      <c r="CS2" s="84"/>
      <c r="CT2" s="84"/>
    </row>
    <row r="3" spans="2:99" x14ac:dyDescent="0.2">
      <c r="J3" s="124"/>
      <c r="K3" s="78"/>
      <c r="CM3" s="5"/>
      <c r="CN3" s="83"/>
      <c r="CO3" s="5"/>
      <c r="CP3" s="83"/>
      <c r="CS3" s="84"/>
      <c r="CT3" s="84"/>
      <c r="CU3" s="84"/>
    </row>
    <row r="4" spans="2:99" s="8" customFormat="1" ht="12.75" x14ac:dyDescent="0.2">
      <c r="B4" s="6"/>
      <c r="C4" s="14" t="s">
        <v>16</v>
      </c>
      <c r="D4" s="245" t="s">
        <v>100</v>
      </c>
      <c r="E4" s="245"/>
      <c r="F4" s="245"/>
      <c r="G4" s="245"/>
      <c r="CM4" s="5"/>
      <c r="CN4" s="13"/>
      <c r="CO4" s="5"/>
      <c r="CP4" s="13"/>
      <c r="CS4" s="87"/>
      <c r="CT4" s="87"/>
      <c r="CU4" s="87"/>
    </row>
    <row r="5" spans="2:99" s="8" customFormat="1" ht="12.75" x14ac:dyDescent="0.2">
      <c r="B5" s="6"/>
      <c r="C5" s="3"/>
      <c r="D5" s="90"/>
      <c r="E5" s="90"/>
      <c r="F5" s="90"/>
      <c r="G5" s="90"/>
      <c r="CM5" s="5"/>
      <c r="CN5" s="13"/>
      <c r="CO5" s="5"/>
      <c r="CP5" s="13"/>
      <c r="CS5" s="87"/>
      <c r="CT5" s="87"/>
      <c r="CU5" s="87"/>
    </row>
    <row r="6" spans="2:99" s="8" customFormat="1" ht="12.75" x14ac:dyDescent="0.2">
      <c r="B6" s="6"/>
      <c r="C6" s="14" t="s">
        <v>19</v>
      </c>
      <c r="D6" s="245" t="s">
        <v>99</v>
      </c>
      <c r="E6" s="245"/>
      <c r="F6" s="245"/>
      <c r="G6" s="245"/>
      <c r="CM6" s="5"/>
      <c r="CN6" s="13"/>
      <c r="CO6" s="5"/>
      <c r="CP6" s="13"/>
      <c r="CS6" s="87"/>
      <c r="CT6" s="87"/>
      <c r="CU6" s="87"/>
    </row>
    <row r="7" spans="2:99" s="8" customFormat="1" ht="12.75" x14ac:dyDescent="0.2">
      <c r="B7" s="6"/>
      <c r="CM7" s="5"/>
      <c r="CN7" s="13"/>
      <c r="CO7" s="5"/>
      <c r="CP7" s="13"/>
      <c r="CQ7" s="91"/>
      <c r="CR7" s="87"/>
      <c r="CS7" s="87"/>
      <c r="CT7" s="87"/>
      <c r="CU7" s="87"/>
    </row>
    <row r="8" spans="2:99" s="8" customFormat="1" ht="12.75" x14ac:dyDescent="0.2">
      <c r="B8" s="6"/>
      <c r="E8" s="15"/>
    </row>
    <row r="9" spans="2:99" s="8" customFormat="1" ht="12.75" x14ac:dyDescent="0.2">
      <c r="B9" s="6"/>
      <c r="C9" s="223" t="str">
        <f>+IF(K2="BRUT","Mensualisation dans le contrat en BRUT :","Mensualisation dans le contrat en NET :")</f>
        <v>Mensualisation dans le contrat en NET :</v>
      </c>
      <c r="D9" s="224"/>
      <c r="E9" s="189">
        <v>693.33</v>
      </c>
      <c r="F9" s="190"/>
    </row>
    <row r="10" spans="2:99" s="8" customFormat="1" ht="12.75" x14ac:dyDescent="0.2">
      <c r="B10" s="6"/>
      <c r="C10" s="7"/>
      <c r="D10" s="93"/>
      <c r="E10" s="93"/>
    </row>
    <row r="11" spans="2:99" s="8" customFormat="1" ht="12.75" x14ac:dyDescent="0.2">
      <c r="B11" s="6"/>
      <c r="C11" s="223" t="s">
        <v>25</v>
      </c>
      <c r="D11" s="224"/>
      <c r="E11" s="191">
        <v>52</v>
      </c>
      <c r="F11" s="192"/>
    </row>
    <row r="12" spans="2:99" s="8" customFormat="1" ht="12.75" x14ac:dyDescent="0.2">
      <c r="B12" s="6"/>
    </row>
    <row r="13" spans="2:99" s="8" customFormat="1" ht="26.25" customHeight="1" x14ac:dyDescent="0.2">
      <c r="B13" s="6"/>
      <c r="C13" s="216" t="s">
        <v>28</v>
      </c>
      <c r="D13" s="217"/>
      <c r="E13" s="92">
        <f>+ROUND(E9*12/E11,2)</f>
        <v>160</v>
      </c>
      <c r="F13" s="218" t="str">
        <f>+"Détail : "&amp;E9&amp;" € X 12 mois / "&amp;E11&amp;" sem"</f>
        <v>Détail : 693,33 € X 12 mois / 52 sem</v>
      </c>
      <c r="G13" s="219"/>
      <c r="H13" s="220"/>
    </row>
    <row r="14" spans="2:99" s="8" customFormat="1" ht="12.75" x14ac:dyDescent="0.2">
      <c r="B14" s="6"/>
    </row>
    <row r="15" spans="2:99" s="8" customFormat="1" ht="12.75" x14ac:dyDescent="0.2">
      <c r="B15" s="6"/>
      <c r="C15" s="96" t="s">
        <v>31</v>
      </c>
      <c r="D15" s="193">
        <v>44805</v>
      </c>
      <c r="E15" s="8" t="s">
        <v>32</v>
      </c>
    </row>
    <row r="16" spans="2:99" s="8" customFormat="1" ht="12.75" x14ac:dyDescent="0.2">
      <c r="B16" s="6"/>
      <c r="F16" s="17" t="str">
        <f>IF(D17&gt;=DATE(YEAR(A31)+6,6,1),"ERREUR LA DUREE DU CONTRAT EST TROP LONGUE POUR CET OUTIL","")</f>
        <v/>
      </c>
      <c r="G16" s="17"/>
      <c r="H16" s="17"/>
    </row>
    <row r="17" spans="1:93" s="8" customFormat="1" ht="12.75" hidden="1" x14ac:dyDescent="0.2">
      <c r="B17" s="6"/>
      <c r="C17" s="149" t="s">
        <v>35</v>
      </c>
      <c r="D17" s="194">
        <f>+DATE(YEAR(D15)+6,5,31)</f>
        <v>46904</v>
      </c>
      <c r="E17" s="148" t="s">
        <v>32</v>
      </c>
    </row>
    <row r="18" spans="1:93" s="8" customFormat="1" ht="13.5" thickBot="1" x14ac:dyDescent="0.25">
      <c r="B18" s="6"/>
    </row>
    <row r="19" spans="1:93" s="8" customFormat="1" ht="63.75" customHeight="1" thickBot="1" x14ac:dyDescent="0.25">
      <c r="A19" s="36"/>
      <c r="B19" s="1"/>
      <c r="C19" s="58"/>
      <c r="D19" s="59"/>
      <c r="E19" s="50" t="s">
        <v>91</v>
      </c>
      <c r="F19" s="146" t="s">
        <v>92</v>
      </c>
      <c r="G19" s="146" t="s">
        <v>95</v>
      </c>
      <c r="H19" s="146" t="s">
        <v>96</v>
      </c>
      <c r="J19" s="147" t="s">
        <v>93</v>
      </c>
      <c r="K19" s="114"/>
      <c r="L19" s="2"/>
    </row>
    <row r="20" spans="1:93" s="8" customFormat="1" ht="13.5" customHeight="1" x14ac:dyDescent="0.2">
      <c r="A20" s="36"/>
      <c r="B20" s="1"/>
      <c r="C20" s="221" t="str">
        <f>+"Pris (congés acquis : "&amp;PROPER(+TEXT(D15,"mmmm"))&amp;" "&amp;YEAR(D15)&amp;" à "&amp;IF(D17&gt;=B42,C42,PROPER(+TEXT(D17,"mmmm"))&amp;" "&amp;YEAR(D17))&amp;") :"</f>
        <v>Pris (congés acquis : Septembre 2022 à Mai 2023) :</v>
      </c>
      <c r="D20" s="222"/>
      <c r="E20" s="126">
        <f>+MIN(E45+E63+E81+E99+E117+E136,D45)</f>
        <v>24</v>
      </c>
      <c r="F20" s="130">
        <f>+BB44+BB62+BB80+BB98+BB116+BB134</f>
        <v>639.99692307692317</v>
      </c>
      <c r="G20" s="129">
        <f>+IF(J20&gt;F20,ROUND(J20-F20,2),0)</f>
        <v>23.27</v>
      </c>
      <c r="H20" s="195"/>
      <c r="I20" s="87"/>
      <c r="J20" s="140">
        <f>IF(E20&gt;=1,ROUND(J45/(D45-D44)*0.1*E20,2),0)</f>
        <v>663.27</v>
      </c>
      <c r="K20" s="141" t="str">
        <f>IF(E20&gt;=1,"Montant jours pris en 10% : "&amp;E20&amp;" jrs X "&amp;ROUND(J46/(D45-D44)*0.1,2)&amp;" €","")</f>
        <v>Montant jours pris en 10% : 24 jrs X 27,64 €</v>
      </c>
      <c r="N20" s="13"/>
      <c r="O20" s="13"/>
      <c r="P20" s="13"/>
    </row>
    <row r="21" spans="1:93" s="8" customFormat="1" ht="13.5" customHeight="1" x14ac:dyDescent="0.2">
      <c r="A21" s="36"/>
      <c r="B21" s="1"/>
      <c r="C21" s="210" t="str">
        <f>+"Pris (congés acquis : "&amp;PROPER(+TEXT(B49,"mmmm"))&amp;" "&amp;YEAR(B49)&amp;" à "&amp;IF(D17&gt;=B60,C60,PROPER(+TEXT(D17,"mmmm"))&amp;" "&amp;YEAR(D17))&amp;") :"</f>
        <v>Pris (congés acquis : Juin 2023 à Mai 2024) :</v>
      </c>
      <c r="D21" s="211"/>
      <c r="E21" s="127">
        <f>+MIN(E63+E81+E45-E20+E99+E117+E136,D63)</f>
        <v>30</v>
      </c>
      <c r="F21" s="136">
        <f>+BE44+BE62+BE80+BE98+BE116+BE134</f>
        <v>804.35538461538465</v>
      </c>
      <c r="G21" s="137">
        <f t="shared" ref="G21:G25" si="0">+IF(J21&gt;F21,ROUND(J21-F21,2),0)</f>
        <v>16.97</v>
      </c>
      <c r="H21" s="196"/>
      <c r="I21" s="87"/>
      <c r="J21" s="142">
        <f>IF(E21&gt;=1,ROUND(J63/(D63-D62)*0.1*E21,2),0)</f>
        <v>821.33</v>
      </c>
      <c r="K21" s="143" t="str">
        <f>IF(E21&gt;=1,"Montant jours pris en 10% : "&amp;E21&amp;" jrs X "&amp;ROUND(J63/(D63-D62)*0.1*E21,2)&amp;" €","")</f>
        <v>Montant jours pris en 10% : 30 jrs X 821,33 €</v>
      </c>
      <c r="N21" s="13"/>
      <c r="O21" s="13"/>
      <c r="P21" s="13"/>
    </row>
    <row r="22" spans="1:93" s="8" customFormat="1" ht="13.5" customHeight="1" x14ac:dyDescent="0.2">
      <c r="A22" s="36"/>
      <c r="B22" s="1"/>
      <c r="C22" s="210" t="str">
        <f>+"Pris (congés acquis : "&amp;PROPER(+TEXT(B67,"mmmm"))&amp;" "&amp;YEAR(B67)&amp;" à "&amp;IF(D17&gt;=B78,C78,PROPER(+TEXT(D17,"mmmm"))&amp;" "&amp;YEAR(D17))&amp;") :"</f>
        <v>Pris (congés acquis : Juin 2024 à Mai 2025) :</v>
      </c>
      <c r="D22" s="211"/>
      <c r="E22" s="127">
        <f>+MIN(E63+E81+E45+E99+E117+E136-E20-E21,D81)</f>
        <v>0</v>
      </c>
      <c r="F22" s="136">
        <f>+BH44+BH62+BH80+BH98+BH116+BH134</f>
        <v>0</v>
      </c>
      <c r="G22" s="137">
        <f t="shared" si="0"/>
        <v>0</v>
      </c>
      <c r="H22" s="196"/>
      <c r="I22" s="87"/>
      <c r="J22" s="142">
        <f>IF(E22&gt;1,ROUND(J81/(D81-D80)*0.1*E22,2),0)</f>
        <v>0</v>
      </c>
      <c r="K22" s="143" t="str">
        <f>IF(E22&gt;=1,"Montant jours pris en 10% : "&amp;E22&amp;" jrs X "&amp;ROUND(J81/(D81-D80)*0.1*E22,2)&amp;" €","")</f>
        <v/>
      </c>
      <c r="N22" s="13"/>
      <c r="O22" s="13"/>
      <c r="P22" s="13"/>
    </row>
    <row r="23" spans="1:93" s="8" customFormat="1" ht="13.5" customHeight="1" x14ac:dyDescent="0.2">
      <c r="A23" s="36"/>
      <c r="B23" s="1"/>
      <c r="C23" s="210" t="str">
        <f>+"Pris (congés acquis :"&amp;PROPER(+TEXT(B85,"mmmm"))&amp;" "&amp;YEAR(B85)&amp;" à "&amp;IF(D17&gt;=B96,C96,PROPER(+TEXT(D17,"mmmm"))&amp;" "&amp;YEAR(D17))&amp;") :"</f>
        <v>Pris (congés acquis :Juin 2025 à Mai 2026) :</v>
      </c>
      <c r="D23" s="211"/>
      <c r="E23" s="127">
        <f>+MIN(E63+E81+E45+E99+E117+E136-E20-E21-E22,D99)</f>
        <v>0</v>
      </c>
      <c r="F23" s="136">
        <f>+BK44+BK62+BK80+BK98+BK116+BK134</f>
        <v>0</v>
      </c>
      <c r="G23" s="137">
        <f t="shared" si="0"/>
        <v>0</v>
      </c>
      <c r="H23" s="196"/>
      <c r="I23" s="87"/>
      <c r="J23" s="142">
        <f>IF(E23&gt;=1,ROUND(J99/(D99-D98)*0.1*E23,2),0)</f>
        <v>0</v>
      </c>
      <c r="K23" s="143" t="str">
        <f>IF(E23&gt;=1,"Montant jours pris en 10% : "&amp;E23&amp;" jrs X "&amp;ROUND(J99/(D99-D98)*0.1*E23,2)&amp;" €","")</f>
        <v/>
      </c>
      <c r="N23" s="13"/>
      <c r="O23" s="13"/>
      <c r="P23" s="13"/>
    </row>
    <row r="24" spans="1:93" s="8" customFormat="1" ht="13.5" customHeight="1" x14ac:dyDescent="0.2">
      <c r="A24" s="36"/>
      <c r="B24" s="1"/>
      <c r="C24" s="210" t="str">
        <f>+"Pris (congés acquis : "&amp;PROPER(+TEXT(B103,"mmmm"))&amp;" "&amp;YEAR(B103)&amp;" à "&amp;IF(D17&gt;=B114,C114,PROPER(+TEXT(D17,"mmmm"))&amp;" "&amp;YEAR(D17))&amp;") :"</f>
        <v>Pris (congés acquis : Juin 2026 à Mai 2027) :</v>
      </c>
      <c r="D24" s="211"/>
      <c r="E24" s="127">
        <f>+MIN(E63+E81+E45+E99+E117+E136-E20-E21-E22-E23,D117)</f>
        <v>0</v>
      </c>
      <c r="F24" s="136">
        <f>+BN44+BN62+BN80+BN98+BN116+BN134</f>
        <v>0</v>
      </c>
      <c r="G24" s="137">
        <f t="shared" si="0"/>
        <v>0</v>
      </c>
      <c r="H24" s="196"/>
      <c r="I24" s="87"/>
      <c r="J24" s="142">
        <f>IF(E24&gt;=1,ROUND(J117/(D117-D116)*0.1*E24,2),0)</f>
        <v>0</v>
      </c>
      <c r="K24" s="143" t="str">
        <f>IF(E24&gt;=1,"Montant jours pris en 10% : "&amp;E24&amp;" jrs X "&amp;ROUND(J117/(D117-D116)*0.1*E24,2)&amp;" €","")</f>
        <v/>
      </c>
      <c r="N24" s="13"/>
      <c r="O24" s="13"/>
      <c r="P24" s="13"/>
    </row>
    <row r="25" spans="1:93" s="8" customFormat="1" ht="13.5" customHeight="1" thickBot="1" x14ac:dyDescent="0.25">
      <c r="A25" s="36"/>
      <c r="B25" s="1"/>
      <c r="C25" s="212" t="str">
        <f>+"Pris (congés acquis : "&amp;PROPER(+TEXT(B121,"mmmm"))&amp;" "&amp;YEAR(B121)&amp;" à "&amp;IF(D17&gt;=B132,C132,PROPER(+TEXT(D17,"mmmm"))&amp;" "&amp;YEAR(D17))&amp;") :"</f>
        <v>Pris (congés acquis : Juin 2027 à Mai 2028) :</v>
      </c>
      <c r="D25" s="213"/>
      <c r="E25" s="128">
        <f>+E63+E45+E81+E99+E117+E136-E20-E21-E22-E23-E24</f>
        <v>0</v>
      </c>
      <c r="F25" s="138">
        <f>+BQ44+BQ62+BQ80+BQ98+BQ116+BQ134</f>
        <v>0</v>
      </c>
      <c r="G25" s="139">
        <f t="shared" si="0"/>
        <v>0</v>
      </c>
      <c r="H25" s="197"/>
      <c r="I25" s="87"/>
      <c r="J25" s="144">
        <f>IF(E25&gt;=1,ROUND(J50/(D50-D49)*0.1*E25,2),0)</f>
        <v>0</v>
      </c>
      <c r="K25" s="145" t="str">
        <f>IF(E25&gt;=1,"Montant jours pris en 10% : "&amp;E25&amp;" jrs X "&amp;ROUND(J50/(D50-D49)*0.1*E25,2)&amp;" €","")</f>
        <v/>
      </c>
      <c r="N25" s="13"/>
      <c r="O25" s="13"/>
      <c r="P25" s="13"/>
    </row>
    <row r="26" spans="1:93" s="8" customFormat="1" ht="13.5" thickBot="1" x14ac:dyDescent="0.25">
      <c r="B26" s="6"/>
      <c r="F26" s="151" t="s">
        <v>0</v>
      </c>
      <c r="G26" s="152">
        <f>SUM(G20:G25)</f>
        <v>40.239999999999995</v>
      </c>
      <c r="H26" s="152">
        <f>SUM(H20:H25)</f>
        <v>0</v>
      </c>
    </row>
    <row r="27" spans="1:93" s="8" customFormat="1" ht="13.5" thickBot="1" x14ac:dyDescent="0.25">
      <c r="B27" s="6"/>
      <c r="F27" s="7"/>
      <c r="G27" s="91"/>
      <c r="H27" s="91"/>
    </row>
    <row r="28" spans="1:93" s="8" customFormat="1" ht="39" customHeight="1" thickBot="1" x14ac:dyDescent="0.25">
      <c r="B28" s="6"/>
      <c r="F28" s="214" t="str">
        <f>+IF(K2="BRUT","Reste à percevoir en BRUT :","Reste à percevoir en NET :")</f>
        <v>Reste à percevoir en NET :</v>
      </c>
      <c r="G28" s="214"/>
      <c r="H28" s="163">
        <f>+G26-H26</f>
        <v>40.239999999999995</v>
      </c>
    </row>
    <row r="29" spans="1:93" s="8" customFormat="1" ht="56.25" customHeight="1" x14ac:dyDescent="0.2">
      <c r="B29" s="6"/>
      <c r="C29" s="107"/>
      <c r="D29" s="35"/>
      <c r="E29" s="99"/>
      <c r="F29" s="35"/>
      <c r="G29" s="35"/>
      <c r="H29" s="35"/>
      <c r="I29" s="35"/>
      <c r="J29" s="106"/>
      <c r="AZ29" s="207" t="str">
        <f>"Période : "&amp;CHAR(10)&amp;PROPER(+TEXT(D15,"mmmm"))&amp;" "&amp;YEAR(D15)&amp;" à "&amp;IF(D17&gt;=B42,C42,PROPER(+TEXT(D17,"mmmm"))&amp;" "&amp;YEAR(D17))</f>
        <v>Période : 
Septembre 2022 à Mai 2023</v>
      </c>
      <c r="BA29" s="208"/>
      <c r="BB29" s="209"/>
      <c r="BC29" s="206" t="str">
        <f>"Période : "&amp;CHAR(10)&amp;PROPER(+TEXT(B49,"mmmm"))&amp;" "&amp;YEAR(B49)&amp;" à "&amp;IF(D17&gt;=B60,C60,PROPER(+TEXT(D17,"mmmm"))&amp;" "&amp;YEAR(D17))</f>
        <v>Période : 
Juin 2023 à Mai 2024</v>
      </c>
      <c r="BD29" s="206"/>
      <c r="BE29" s="206"/>
      <c r="BF29" s="206" t="str">
        <f>"Période de : "&amp;CHAR(10)&amp;PROPER(+TEXT(B67,"mmmm"))&amp;" "&amp;YEAR(B67)&amp;" à "&amp;IF(D17&gt;=B78,C78,PROPER(+TEXT(D17,"mmmm"))&amp;" "&amp;YEAR(D17))</f>
        <v>Période de : 
Juin 2024 à Mai 2025</v>
      </c>
      <c r="BG29" s="206"/>
      <c r="BH29" s="206"/>
      <c r="BI29" s="206" t="str">
        <f>"Période de : "&amp;CHAR(10)&amp;PROPER(+TEXT(B85,"mmmm"))&amp;" "&amp;YEAR(B85)&amp;" à "&amp;IF(D17&gt;=B96,C96,PROPER(+TEXT(D17,"mmmm"))&amp;" "&amp;YEAR(D17))</f>
        <v>Période de : 
Juin 2025 à Mai 2026</v>
      </c>
      <c r="BJ29" s="206"/>
      <c r="BK29" s="206"/>
      <c r="BL29" s="206" t="str">
        <f>"Période de : "&amp;CHAR(10)&amp;PROPER(+TEXT(B103,"mmmm"))&amp;" "&amp;YEAR(B103)&amp;" à "&amp;IF(D17&gt;=B114,C114,PROPER(+TEXT(D17,"mmmm"))&amp;" "&amp;YEAR(D17))</f>
        <v>Période de : 
Juin 2026 à Mai 2027</v>
      </c>
      <c r="BM29" s="206"/>
      <c r="BN29" s="206"/>
      <c r="BO29" s="206" t="str">
        <f>"Période de : "&amp;CHAR(10)&amp;PROPER(+TEXT(B121,"mmmm"))&amp;" "&amp;YEAR(B121)&amp;" à "&amp;IF(D17&gt;=B132,C132,PROPER(+TEXT(D17,"mmmm"))&amp;" "&amp;YEAR(D17))</f>
        <v>Période de : 
Juin 2027 à Mai 2028</v>
      </c>
      <c r="BP29" s="206"/>
      <c r="BQ29" s="206"/>
    </row>
    <row r="30" spans="1:93" s="8" customFormat="1" ht="63.75" x14ac:dyDescent="0.2">
      <c r="B30" s="6"/>
      <c r="C30" s="27" t="str">
        <f>"Période : "&amp;CHAR(10)&amp;PROPER(+TEXT(D15,"mmmm"))&amp;" "&amp;YEAR(D15)&amp;" à "&amp;IF(D17&gt;=B42,C42,PROPER(+TEXT(D17,"mmmm"))&amp;" "&amp;YEAR(D17))</f>
        <v>Période : 
Septembre 2022 à Mai 2023</v>
      </c>
      <c r="D30" s="27" t="s">
        <v>72</v>
      </c>
      <c r="E30" s="28" t="s">
        <v>87</v>
      </c>
      <c r="F30" s="28" t="s">
        <v>103</v>
      </c>
      <c r="G30" s="27" t="s">
        <v>94</v>
      </c>
      <c r="H30" s="27" t="s">
        <v>90</v>
      </c>
      <c r="I30" s="105"/>
      <c r="J30" s="27" t="str">
        <f>IF(K2="BRUT","Salaires bruts de l'année (hors indemnités)","Salaires nets de l'année (hors indemnités)")</f>
        <v>Salaires nets de l'année (hors indemnités)</v>
      </c>
      <c r="K30" s="27" t="s">
        <v>74</v>
      </c>
      <c r="M30" s="98" t="s">
        <v>75</v>
      </c>
      <c r="N30" s="98" t="s">
        <v>76</v>
      </c>
      <c r="P30" s="98" t="str">
        <f>+IF(K2="BRUT","80% des Salaires bruts correspondants à l'arrêt de maladie","80% des Salaires nets correspondants à l'arrêt de maladie")</f>
        <v>80% des Salaires nets correspondants à l'arrêt de maladie</v>
      </c>
      <c r="AY30" s="27" t="s">
        <v>101</v>
      </c>
      <c r="AZ30" s="27" t="s">
        <v>87</v>
      </c>
      <c r="BA30" s="27" t="s">
        <v>104</v>
      </c>
      <c r="BB30" s="27" t="s">
        <v>102</v>
      </c>
      <c r="BC30" s="164" t="s">
        <v>87</v>
      </c>
      <c r="BD30" s="27" t="s">
        <v>104</v>
      </c>
      <c r="BE30" s="27" t="s">
        <v>102</v>
      </c>
      <c r="BF30" s="27" t="s">
        <v>87</v>
      </c>
      <c r="BG30" s="27" t="s">
        <v>104</v>
      </c>
      <c r="BH30" s="27" t="s">
        <v>102</v>
      </c>
      <c r="BI30" s="27" t="s">
        <v>87</v>
      </c>
      <c r="BJ30" s="27" t="s">
        <v>104</v>
      </c>
      <c r="BK30" s="27" t="s">
        <v>102</v>
      </c>
      <c r="BL30" s="27" t="s">
        <v>87</v>
      </c>
      <c r="BM30" s="27" t="s">
        <v>104</v>
      </c>
      <c r="BN30" s="27" t="s">
        <v>102</v>
      </c>
      <c r="BO30" s="27" t="s">
        <v>87</v>
      </c>
      <c r="BP30" s="27" t="s">
        <v>104</v>
      </c>
      <c r="BQ30" s="27" t="s">
        <v>102</v>
      </c>
      <c r="BR30" s="27" t="s">
        <v>105</v>
      </c>
      <c r="CO30" s="108" t="s">
        <v>77</v>
      </c>
    </row>
    <row r="31" spans="1:93" s="8" customFormat="1" ht="14.25" customHeight="1" x14ac:dyDescent="0.2">
      <c r="A31" s="36">
        <f>IF((DATE(YEAR($D$15),MONTH($D$15),DAY($D$15)))&lt;(DATE(YEAR($D$15),6,1)),(DATE(YEAR($D$15)-1,6,1)),(DATE(YEAR($D$15),6,1)))</f>
        <v>44713</v>
      </c>
      <c r="B31" s="1">
        <f>IF((DATE(YEAR($D$15),MONTH($D$15),DAY($D$15)))&lt;(DATE(YEAR($D$15),6,1)),(DATE(YEAR($D$15)-1,6,1)),(DATE(YEAR($D$15),6,1)))</f>
        <v>44713</v>
      </c>
      <c r="C31" s="88" t="str">
        <f>+IF(B31="","","Juin"&amp;" "&amp;YEAR(B31))</f>
        <v>Juin 2022</v>
      </c>
      <c r="D31" s="198"/>
      <c r="E31" s="199"/>
      <c r="F31" s="112">
        <f>IF(E31&gt;=0.1,G31/26,0)</f>
        <v>0</v>
      </c>
      <c r="G31" s="112">
        <f>+IF(H31="",$E$9,H31)</f>
        <v>693.33</v>
      </c>
      <c r="H31" s="200"/>
      <c r="J31" s="200"/>
      <c r="K31" s="201"/>
      <c r="M31" s="88" t="str">
        <f>+C31</f>
        <v>Juin 2022</v>
      </c>
      <c r="N31" s="198"/>
      <c r="P31" s="200"/>
      <c r="AY31" s="167">
        <f>IF(E31&gt;=0.1,G31/26,0)</f>
        <v>0</v>
      </c>
      <c r="AZ31" s="169">
        <f>IF($E31&gt;=0.1,+MIN($E31,$D$45),0)</f>
        <v>0</v>
      </c>
      <c r="BA31" s="169">
        <f>+AZ31</f>
        <v>0</v>
      </c>
      <c r="BB31" s="171">
        <f>+AZ31*$AY31</f>
        <v>0</v>
      </c>
      <c r="BC31" s="174">
        <f>IF($E31&gt;=0.1,MIN($E31-$AZ31,$D$63),0)</f>
        <v>0</v>
      </c>
      <c r="BD31" s="180">
        <f>+BC31</f>
        <v>0</v>
      </c>
      <c r="BE31" s="175">
        <f>+BC31*$AY31</f>
        <v>0</v>
      </c>
      <c r="BF31" s="174">
        <f>IF($E31&gt;=0.1,MIN($E31-$AZ31-$BC31,$D$81),0)</f>
        <v>0</v>
      </c>
      <c r="BG31" s="180">
        <f>+BF31</f>
        <v>0</v>
      </c>
      <c r="BH31" s="175">
        <f>+BF31*$AY31</f>
        <v>0</v>
      </c>
      <c r="BI31" s="174">
        <f>IF($E31&gt;=0.1,MIN($E31-$AZ31-$BC31-$BF31,$D$99),0)</f>
        <v>0</v>
      </c>
      <c r="BJ31" s="180">
        <f>+BI31</f>
        <v>0</v>
      </c>
      <c r="BK31" s="175">
        <f>+BI31*$AY31</f>
        <v>0</v>
      </c>
      <c r="BL31" s="174">
        <f>IF($E31&gt;=0.1,MIN($E31-$AZ31-$BC31-$BF31-$BI31,$D$117),0)</f>
        <v>0</v>
      </c>
      <c r="BM31" s="180">
        <f>+BL31</f>
        <v>0</v>
      </c>
      <c r="BN31" s="175">
        <f>+BL31*$AY31</f>
        <v>0</v>
      </c>
      <c r="BO31" s="174">
        <f>IF($E31&gt;=0.1,MIN($E31-$AZ31-$BC31-$BF31-$BI31-$BL31,$D$136),0)</f>
        <v>0</v>
      </c>
      <c r="BP31" s="180">
        <f>+BO31</f>
        <v>0</v>
      </c>
      <c r="BQ31" s="175">
        <f>+BO31*$AY31</f>
        <v>0</v>
      </c>
      <c r="BR31" s="181">
        <f>+BO31+BL31+BI31+BF31+BC31+AZ31</f>
        <v>0</v>
      </c>
      <c r="CO31" s="8" t="str">
        <f t="shared" ref="CO31:CO42" si="1">IF(B31="","NON",+IF(AND(DATE(YEAR(B31),MONTH(B31),1)&gt;=DATE(YEAR($D$15),MONTH($D$15),1),DATE(YEAR(B31),MONTH(B31),1)&lt;=DATE(YEAR($D$17),MONTH($D$17),1)),"OUI","NON"))</f>
        <v>NON</v>
      </c>
    </row>
    <row r="32" spans="1:93" s="8" customFormat="1" ht="13.5" customHeight="1" x14ac:dyDescent="0.2">
      <c r="A32" s="36">
        <f>+EDATE(A31,1)</f>
        <v>44743</v>
      </c>
      <c r="B32" s="1">
        <f>IF($B$31="","",IF(EDATE($B$31,1)&lt;=$D$17,EDATE($B$31,1),""))</f>
        <v>44743</v>
      </c>
      <c r="C32" s="88" t="str">
        <f>+IF(B32="","","Juillet"&amp;" "&amp;YEAR(B32))</f>
        <v>Juillet 2022</v>
      </c>
      <c r="D32" s="198"/>
      <c r="E32" s="199"/>
      <c r="F32" s="112">
        <f t="shared" ref="F32:F42" si="2">IF(E32&gt;=0.1,G32/26,0)</f>
        <v>0</v>
      </c>
      <c r="G32" s="112">
        <f>+IF(H32="",G31,H32)</f>
        <v>693.33</v>
      </c>
      <c r="H32" s="200"/>
      <c r="J32" s="200"/>
      <c r="K32" s="201"/>
      <c r="M32" s="88" t="str">
        <f t="shared" ref="M32:M42" si="3">+C32</f>
        <v>Juillet 2022</v>
      </c>
      <c r="N32" s="198"/>
      <c r="P32" s="200"/>
      <c r="AY32" s="167">
        <f t="shared" ref="AY32:AY42" si="4">IF(E32&gt;=0.1,G32/26,0)</f>
        <v>0</v>
      </c>
      <c r="AZ32" s="169">
        <f t="shared" ref="AZ32:AZ42" si="5">IF($E32&gt;=0.1,+MIN($E32,$D$45-$BA31),0)</f>
        <v>0</v>
      </c>
      <c r="BA32" s="169">
        <f>+BA31+AZ32</f>
        <v>0</v>
      </c>
      <c r="BB32" s="171">
        <f t="shared" ref="BB32:BB42" si="6">+AZ32*$AY32</f>
        <v>0</v>
      </c>
      <c r="BC32" s="176">
        <f t="shared" ref="BC32:BC36" si="7">IF($E32&gt;=0.1,MIN($E32-$AZ32,$D$63-$BD31),0)</f>
        <v>0</v>
      </c>
      <c r="BD32" s="169">
        <f>+BD31+BC32</f>
        <v>0</v>
      </c>
      <c r="BE32" s="177">
        <f t="shared" ref="BE32:BE42" si="8">+BC32*$AY32</f>
        <v>0</v>
      </c>
      <c r="BF32" s="176">
        <f>IF($E32&gt;=0.1,MIN($E32-$AZ32-$BC32,$D$81-$BG31),0)</f>
        <v>0</v>
      </c>
      <c r="BG32" s="169">
        <f>+BG31+BF32</f>
        <v>0</v>
      </c>
      <c r="BH32" s="177">
        <f t="shared" ref="BH32:BH42" si="9">+BF32*$AY32</f>
        <v>0</v>
      </c>
      <c r="BI32" s="176">
        <f>IF($E32&gt;=0.1,MIN($E32-$AZ32-$BC32-$BF32,$D$99-$BJ31),0)</f>
        <v>0</v>
      </c>
      <c r="BJ32" s="169">
        <f>+BJ31+BI32</f>
        <v>0</v>
      </c>
      <c r="BK32" s="177">
        <f t="shared" ref="BK32:BK42" si="10">+BI32*$AY32</f>
        <v>0</v>
      </c>
      <c r="BL32" s="176">
        <f>IF($E32&gt;=0.1,MIN($E32-$AZ32-$BC32-$BF32-$BI32,$D$117-$BM31),0)</f>
        <v>0</v>
      </c>
      <c r="BM32" s="169">
        <f>+BM31+BL32</f>
        <v>0</v>
      </c>
      <c r="BN32" s="177">
        <f t="shared" ref="BN32:BN42" si="11">+BL32*$AY32</f>
        <v>0</v>
      </c>
      <c r="BO32" s="176">
        <f>IF($E32&gt;=0.1,MIN($E32-$AZ32-$BC32-$BF32-$BI32-$BL32,$D$136-$BP31),0)</f>
        <v>0</v>
      </c>
      <c r="BP32" s="169">
        <f>+BP31+BO32</f>
        <v>0</v>
      </c>
      <c r="BQ32" s="177">
        <f t="shared" ref="BQ32:BQ42" si="12">+BO32*$AY32</f>
        <v>0</v>
      </c>
      <c r="BR32" s="182">
        <f t="shared" ref="BR32:BR42" si="13">+BO32+BL32+BI32+BF32+BC32+AZ32</f>
        <v>0</v>
      </c>
      <c r="CO32" s="8" t="str">
        <f t="shared" si="1"/>
        <v>NON</v>
      </c>
    </row>
    <row r="33" spans="1:94" s="8" customFormat="1" ht="13.5" customHeight="1" x14ac:dyDescent="0.2">
      <c r="A33" s="36">
        <f t="shared" ref="A33:A42" si="14">+EDATE(A32,1)</f>
        <v>44774</v>
      </c>
      <c r="B33" s="1">
        <f>IF($B$32="","",IF(EDATE($B$32,1)&lt;=$D$17,EDATE($B$32,1),""))</f>
        <v>44774</v>
      </c>
      <c r="C33" s="88" t="str">
        <f>+IF(B33="","","Aout"&amp;" "&amp;YEAR(B33))</f>
        <v>Aout 2022</v>
      </c>
      <c r="D33" s="198"/>
      <c r="E33" s="199"/>
      <c r="F33" s="112">
        <f t="shared" si="2"/>
        <v>0</v>
      </c>
      <c r="G33" s="112">
        <f t="shared" ref="G33:G42" si="15">+IF(H33="",G32,H33)</f>
        <v>693.33</v>
      </c>
      <c r="H33" s="200"/>
      <c r="J33" s="200"/>
      <c r="K33" s="201"/>
      <c r="M33" s="88" t="str">
        <f t="shared" si="3"/>
        <v>Aout 2022</v>
      </c>
      <c r="N33" s="198"/>
      <c r="P33" s="200"/>
      <c r="AY33" s="167">
        <f t="shared" si="4"/>
        <v>0</v>
      </c>
      <c r="AZ33" s="169">
        <f t="shared" si="5"/>
        <v>0</v>
      </c>
      <c r="BA33" s="169">
        <f t="shared" ref="BA33:BA42" si="16">+BA32+AZ33</f>
        <v>0</v>
      </c>
      <c r="BB33" s="171">
        <f t="shared" si="6"/>
        <v>0</v>
      </c>
      <c r="BC33" s="176">
        <f t="shared" si="7"/>
        <v>0</v>
      </c>
      <c r="BD33" s="169">
        <f t="shared" ref="BD33:BD42" si="17">+BD32+BC33</f>
        <v>0</v>
      </c>
      <c r="BE33" s="177">
        <f t="shared" si="8"/>
        <v>0</v>
      </c>
      <c r="BF33" s="176">
        <f t="shared" ref="BF33:BF42" si="18">IF($E33&gt;=0.1,MIN($E33-$AZ33-$BC33,$D$81-$BG32),0)</f>
        <v>0</v>
      </c>
      <c r="BG33" s="169">
        <f t="shared" ref="BG33:BG42" si="19">+BG32+BF33</f>
        <v>0</v>
      </c>
      <c r="BH33" s="177">
        <f t="shared" si="9"/>
        <v>0</v>
      </c>
      <c r="BI33" s="176">
        <f t="shared" ref="BI33:BI42" si="20">IF($E33&gt;=0.1,MIN($E33-$AZ33-$BC33-$BF33,$D$99-$BJ32),0)</f>
        <v>0</v>
      </c>
      <c r="BJ33" s="169">
        <f t="shared" ref="BJ33:BJ42" si="21">+BJ32+BI33</f>
        <v>0</v>
      </c>
      <c r="BK33" s="177">
        <f t="shared" si="10"/>
        <v>0</v>
      </c>
      <c r="BL33" s="176">
        <f t="shared" ref="BL33:BL42" si="22">IF($E33&gt;=0.1,MIN($E33-$AZ33-$BC33-$BF33-$BI33,$D$117-$BM32),0)</f>
        <v>0</v>
      </c>
      <c r="BM33" s="169">
        <f t="shared" ref="BM33:BM42" si="23">+BM32+BL33</f>
        <v>0</v>
      </c>
      <c r="BN33" s="177">
        <f t="shared" si="11"/>
        <v>0</v>
      </c>
      <c r="BO33" s="176">
        <f t="shared" ref="BO33:BO42" si="24">IF($E33&gt;=0.1,MIN($E33-$AZ33-$BC33-$BF33-$BI33-$BL33,$D$136-$BP32),0)</f>
        <v>0</v>
      </c>
      <c r="BP33" s="169">
        <f t="shared" ref="BP33:BP42" si="25">+BP32+BO33</f>
        <v>0</v>
      </c>
      <c r="BQ33" s="177">
        <f t="shared" si="12"/>
        <v>0</v>
      </c>
      <c r="BR33" s="182">
        <f t="shared" si="13"/>
        <v>0</v>
      </c>
      <c r="CO33" s="8" t="str">
        <f t="shared" si="1"/>
        <v>NON</v>
      </c>
    </row>
    <row r="34" spans="1:94" s="8" customFormat="1" ht="13.5" customHeight="1" x14ac:dyDescent="0.2">
      <c r="A34" s="36">
        <f t="shared" si="14"/>
        <v>44805</v>
      </c>
      <c r="B34" s="1">
        <f>IF($B$33="","",IF(EDATE($B$33,1)&lt;=$D$17,EDATE($B$33,1),""))</f>
        <v>44805</v>
      </c>
      <c r="C34" s="88" t="str">
        <f>+IF(B34="","","Septembre"&amp;" "&amp;YEAR(B34))</f>
        <v>Septembre 2022</v>
      </c>
      <c r="D34" s="198">
        <v>2.5</v>
      </c>
      <c r="E34" s="199"/>
      <c r="F34" s="112">
        <f t="shared" si="2"/>
        <v>0</v>
      </c>
      <c r="G34" s="112">
        <f t="shared" si="15"/>
        <v>693.33</v>
      </c>
      <c r="H34" s="200"/>
      <c r="J34" s="200">
        <v>693.33</v>
      </c>
      <c r="K34" s="201"/>
      <c r="M34" s="88" t="str">
        <f t="shared" si="3"/>
        <v>Septembre 2022</v>
      </c>
      <c r="N34" s="198"/>
      <c r="P34" s="200"/>
      <c r="AY34" s="167">
        <f t="shared" si="4"/>
        <v>0</v>
      </c>
      <c r="AZ34" s="169">
        <f t="shared" si="5"/>
        <v>0</v>
      </c>
      <c r="BA34" s="169">
        <f t="shared" si="16"/>
        <v>0</v>
      </c>
      <c r="BB34" s="171">
        <f t="shared" si="6"/>
        <v>0</v>
      </c>
      <c r="BC34" s="176">
        <f t="shared" si="7"/>
        <v>0</v>
      </c>
      <c r="BD34" s="169">
        <f t="shared" si="17"/>
        <v>0</v>
      </c>
      <c r="BE34" s="177">
        <f t="shared" si="8"/>
        <v>0</v>
      </c>
      <c r="BF34" s="176">
        <f t="shared" si="18"/>
        <v>0</v>
      </c>
      <c r="BG34" s="169">
        <f t="shared" si="19"/>
        <v>0</v>
      </c>
      <c r="BH34" s="177">
        <f t="shared" si="9"/>
        <v>0</v>
      </c>
      <c r="BI34" s="176">
        <f t="shared" si="20"/>
        <v>0</v>
      </c>
      <c r="BJ34" s="169">
        <f t="shared" si="21"/>
        <v>0</v>
      </c>
      <c r="BK34" s="177">
        <f t="shared" si="10"/>
        <v>0</v>
      </c>
      <c r="BL34" s="176">
        <f t="shared" si="22"/>
        <v>0</v>
      </c>
      <c r="BM34" s="169">
        <f t="shared" si="23"/>
        <v>0</v>
      </c>
      <c r="BN34" s="177">
        <f t="shared" si="11"/>
        <v>0</v>
      </c>
      <c r="BO34" s="176">
        <f t="shared" si="24"/>
        <v>0</v>
      </c>
      <c r="BP34" s="169">
        <f t="shared" si="25"/>
        <v>0</v>
      </c>
      <c r="BQ34" s="177">
        <f t="shared" si="12"/>
        <v>0</v>
      </c>
      <c r="BR34" s="182">
        <f t="shared" si="13"/>
        <v>0</v>
      </c>
      <c r="CO34" s="8" t="str">
        <f t="shared" si="1"/>
        <v>OUI</v>
      </c>
    </row>
    <row r="35" spans="1:94" s="8" customFormat="1" ht="13.5" customHeight="1" x14ac:dyDescent="0.2">
      <c r="A35" s="36">
        <f t="shared" si="14"/>
        <v>44835</v>
      </c>
      <c r="B35" s="1">
        <f>IF($B$34="","",IF(EDATE($B$34,1)&lt;=$D$17,EDATE($B$34,1),""))</f>
        <v>44835</v>
      </c>
      <c r="C35" s="88" t="str">
        <f>+IF(B35="","","Octobre"&amp;" "&amp;YEAR(B35))</f>
        <v>Octobre 2022</v>
      </c>
      <c r="D35" s="198">
        <v>2.5</v>
      </c>
      <c r="E35" s="199"/>
      <c r="F35" s="112">
        <f t="shared" si="2"/>
        <v>0</v>
      </c>
      <c r="G35" s="112">
        <f t="shared" si="15"/>
        <v>693.33</v>
      </c>
      <c r="H35" s="200"/>
      <c r="J35" s="200">
        <v>693.33</v>
      </c>
      <c r="K35" s="201"/>
      <c r="M35" s="88" t="str">
        <f t="shared" si="3"/>
        <v>Octobre 2022</v>
      </c>
      <c r="N35" s="198"/>
      <c r="P35" s="200"/>
      <c r="AY35" s="167">
        <f t="shared" si="4"/>
        <v>0</v>
      </c>
      <c r="AZ35" s="169">
        <f t="shared" si="5"/>
        <v>0</v>
      </c>
      <c r="BA35" s="169">
        <f t="shared" si="16"/>
        <v>0</v>
      </c>
      <c r="BB35" s="171">
        <f t="shared" si="6"/>
        <v>0</v>
      </c>
      <c r="BC35" s="176">
        <f t="shared" si="7"/>
        <v>0</v>
      </c>
      <c r="BD35" s="169">
        <f t="shared" si="17"/>
        <v>0</v>
      </c>
      <c r="BE35" s="177">
        <f t="shared" si="8"/>
        <v>0</v>
      </c>
      <c r="BF35" s="176">
        <f t="shared" si="18"/>
        <v>0</v>
      </c>
      <c r="BG35" s="169">
        <f t="shared" si="19"/>
        <v>0</v>
      </c>
      <c r="BH35" s="177">
        <f t="shared" si="9"/>
        <v>0</v>
      </c>
      <c r="BI35" s="176">
        <f t="shared" si="20"/>
        <v>0</v>
      </c>
      <c r="BJ35" s="169">
        <f t="shared" si="21"/>
        <v>0</v>
      </c>
      <c r="BK35" s="177">
        <f t="shared" si="10"/>
        <v>0</v>
      </c>
      <c r="BL35" s="176">
        <f t="shared" si="22"/>
        <v>0</v>
      </c>
      <c r="BM35" s="169">
        <f t="shared" si="23"/>
        <v>0</v>
      </c>
      <c r="BN35" s="177">
        <f t="shared" si="11"/>
        <v>0</v>
      </c>
      <c r="BO35" s="176">
        <f t="shared" si="24"/>
        <v>0</v>
      </c>
      <c r="BP35" s="169">
        <f t="shared" si="25"/>
        <v>0</v>
      </c>
      <c r="BQ35" s="177">
        <f t="shared" si="12"/>
        <v>0</v>
      </c>
      <c r="BR35" s="182">
        <f t="shared" si="13"/>
        <v>0</v>
      </c>
      <c r="CO35" s="8" t="str">
        <f t="shared" si="1"/>
        <v>OUI</v>
      </c>
    </row>
    <row r="36" spans="1:94" s="8" customFormat="1" ht="13.5" customHeight="1" x14ac:dyDescent="0.2">
      <c r="A36" s="36">
        <f t="shared" si="14"/>
        <v>44866</v>
      </c>
      <c r="B36" s="1">
        <f>IF($B$35="","",IF(EDATE($B$35,1)&lt;=$D$17,EDATE($B$35,1),""))</f>
        <v>44866</v>
      </c>
      <c r="C36" s="88" t="str">
        <f>+IF(B36="","","Novembre"&amp;" "&amp;YEAR(B36))</f>
        <v>Novembre 2022</v>
      </c>
      <c r="D36" s="198">
        <v>2.5</v>
      </c>
      <c r="E36" s="199"/>
      <c r="F36" s="112">
        <f t="shared" si="2"/>
        <v>0</v>
      </c>
      <c r="G36" s="112">
        <f t="shared" si="15"/>
        <v>693.33</v>
      </c>
      <c r="H36" s="200"/>
      <c r="J36" s="200">
        <v>693.33</v>
      </c>
      <c r="K36" s="201"/>
      <c r="M36" s="88" t="str">
        <f t="shared" si="3"/>
        <v>Novembre 2022</v>
      </c>
      <c r="N36" s="198"/>
      <c r="P36" s="200"/>
      <c r="AY36" s="167">
        <f t="shared" si="4"/>
        <v>0</v>
      </c>
      <c r="AZ36" s="169">
        <f t="shared" si="5"/>
        <v>0</v>
      </c>
      <c r="BA36" s="169">
        <f t="shared" si="16"/>
        <v>0</v>
      </c>
      <c r="BB36" s="171">
        <f t="shared" si="6"/>
        <v>0</v>
      </c>
      <c r="BC36" s="176">
        <f t="shared" si="7"/>
        <v>0</v>
      </c>
      <c r="BD36" s="169">
        <f t="shared" si="17"/>
        <v>0</v>
      </c>
      <c r="BE36" s="177">
        <f t="shared" si="8"/>
        <v>0</v>
      </c>
      <c r="BF36" s="176">
        <f t="shared" si="18"/>
        <v>0</v>
      </c>
      <c r="BG36" s="169">
        <f t="shared" si="19"/>
        <v>0</v>
      </c>
      <c r="BH36" s="177">
        <f t="shared" si="9"/>
        <v>0</v>
      </c>
      <c r="BI36" s="176">
        <f t="shared" si="20"/>
        <v>0</v>
      </c>
      <c r="BJ36" s="169">
        <f t="shared" si="21"/>
        <v>0</v>
      </c>
      <c r="BK36" s="177">
        <f t="shared" si="10"/>
        <v>0</v>
      </c>
      <c r="BL36" s="176">
        <f t="shared" si="22"/>
        <v>0</v>
      </c>
      <c r="BM36" s="169">
        <f t="shared" si="23"/>
        <v>0</v>
      </c>
      <c r="BN36" s="177">
        <f t="shared" si="11"/>
        <v>0</v>
      </c>
      <c r="BO36" s="176">
        <f t="shared" si="24"/>
        <v>0</v>
      </c>
      <c r="BP36" s="169">
        <f t="shared" si="25"/>
        <v>0</v>
      </c>
      <c r="BQ36" s="177">
        <f t="shared" si="12"/>
        <v>0</v>
      </c>
      <c r="BR36" s="182">
        <f t="shared" si="13"/>
        <v>0</v>
      </c>
      <c r="CO36" s="8" t="str">
        <f t="shared" si="1"/>
        <v>OUI</v>
      </c>
    </row>
    <row r="37" spans="1:94" s="8" customFormat="1" ht="13.5" customHeight="1" x14ac:dyDescent="0.2">
      <c r="A37" s="36">
        <f t="shared" si="14"/>
        <v>44896</v>
      </c>
      <c r="B37" s="1">
        <f>IF($B$36="","",IF(EDATE($B$36,1)&lt;=$D$17,EDATE($B$36,1),""))</f>
        <v>44896</v>
      </c>
      <c r="C37" s="88" t="str">
        <f>+IF(B37="","","Décembre"&amp;" "&amp;YEAR(B37))</f>
        <v>Décembre 2022</v>
      </c>
      <c r="D37" s="198">
        <f>2.5*0.769230769230769</f>
        <v>1.9230769230769227</v>
      </c>
      <c r="E37" s="199"/>
      <c r="F37" s="112">
        <f t="shared" si="2"/>
        <v>0</v>
      </c>
      <c r="G37" s="112">
        <f t="shared" si="15"/>
        <v>693.33</v>
      </c>
      <c r="H37" s="200"/>
      <c r="J37" s="200">
        <f>693.33/26*20</f>
        <v>533.33076923076919</v>
      </c>
      <c r="K37" s="201" t="s">
        <v>107</v>
      </c>
      <c r="M37" s="88" t="str">
        <f t="shared" si="3"/>
        <v>Décembre 2022</v>
      </c>
      <c r="N37" s="198"/>
      <c r="P37" s="200"/>
      <c r="AY37" s="167">
        <f t="shared" si="4"/>
        <v>0</v>
      </c>
      <c r="AZ37" s="169">
        <f t="shared" si="5"/>
        <v>0</v>
      </c>
      <c r="BA37" s="169">
        <f t="shared" si="16"/>
        <v>0</v>
      </c>
      <c r="BB37" s="171">
        <f t="shared" si="6"/>
        <v>0</v>
      </c>
      <c r="BC37" s="176">
        <f>IF($E37&gt;=0.1,MIN($E37-$AZ37,$D$63-$BD36),0)</f>
        <v>0</v>
      </c>
      <c r="BD37" s="169">
        <f t="shared" si="17"/>
        <v>0</v>
      </c>
      <c r="BE37" s="177">
        <f t="shared" si="8"/>
        <v>0</v>
      </c>
      <c r="BF37" s="176">
        <f t="shared" si="18"/>
        <v>0</v>
      </c>
      <c r="BG37" s="169">
        <f t="shared" si="19"/>
        <v>0</v>
      </c>
      <c r="BH37" s="177">
        <f t="shared" si="9"/>
        <v>0</v>
      </c>
      <c r="BI37" s="176">
        <f t="shared" si="20"/>
        <v>0</v>
      </c>
      <c r="BJ37" s="169">
        <f t="shared" si="21"/>
        <v>0</v>
      </c>
      <c r="BK37" s="177">
        <f t="shared" si="10"/>
        <v>0</v>
      </c>
      <c r="BL37" s="176">
        <f t="shared" si="22"/>
        <v>0</v>
      </c>
      <c r="BM37" s="169">
        <f t="shared" si="23"/>
        <v>0</v>
      </c>
      <c r="BN37" s="177">
        <f t="shared" si="11"/>
        <v>0</v>
      </c>
      <c r="BO37" s="176">
        <f t="shared" si="24"/>
        <v>0</v>
      </c>
      <c r="BP37" s="169">
        <f t="shared" si="25"/>
        <v>0</v>
      </c>
      <c r="BQ37" s="177">
        <f t="shared" si="12"/>
        <v>0</v>
      </c>
      <c r="BR37" s="182">
        <f t="shared" si="13"/>
        <v>0</v>
      </c>
      <c r="CO37" s="8" t="str">
        <f t="shared" si="1"/>
        <v>OUI</v>
      </c>
    </row>
    <row r="38" spans="1:94" s="8" customFormat="1" ht="13.5" customHeight="1" x14ac:dyDescent="0.2">
      <c r="A38" s="36">
        <f t="shared" si="14"/>
        <v>44927</v>
      </c>
      <c r="B38" s="1">
        <f>IF($B$37="","",IF(EDATE($B$37,1)&lt;=$D$17,EDATE($B$37,1),""))</f>
        <v>44927</v>
      </c>
      <c r="C38" s="88" t="str">
        <f>+IF(B38="","","Janvier"&amp;" "&amp;YEAR(B38))</f>
        <v>Janvier 2023</v>
      </c>
      <c r="D38" s="198">
        <v>2.5</v>
      </c>
      <c r="E38" s="199"/>
      <c r="F38" s="112">
        <f t="shared" si="2"/>
        <v>0</v>
      </c>
      <c r="G38" s="112">
        <f t="shared" si="15"/>
        <v>693.33</v>
      </c>
      <c r="H38" s="200"/>
      <c r="J38" s="200">
        <v>693.33</v>
      </c>
      <c r="K38" s="201"/>
      <c r="M38" s="88" t="str">
        <f t="shared" si="3"/>
        <v>Janvier 2023</v>
      </c>
      <c r="N38" s="198"/>
      <c r="P38" s="200"/>
      <c r="AY38" s="167">
        <f t="shared" si="4"/>
        <v>0</v>
      </c>
      <c r="AZ38" s="169">
        <f t="shared" si="5"/>
        <v>0</v>
      </c>
      <c r="BA38" s="169">
        <f t="shared" si="16"/>
        <v>0</v>
      </c>
      <c r="BB38" s="171">
        <f t="shared" si="6"/>
        <v>0</v>
      </c>
      <c r="BC38" s="176">
        <f t="shared" ref="BC38:BC42" si="26">IF($E38&gt;=0.1,MIN($E38-$AZ38,$D$63-$BD37),0)</f>
        <v>0</v>
      </c>
      <c r="BD38" s="169">
        <f t="shared" si="17"/>
        <v>0</v>
      </c>
      <c r="BE38" s="177">
        <f t="shared" si="8"/>
        <v>0</v>
      </c>
      <c r="BF38" s="176">
        <f t="shared" si="18"/>
        <v>0</v>
      </c>
      <c r="BG38" s="169">
        <f t="shared" si="19"/>
        <v>0</v>
      </c>
      <c r="BH38" s="177">
        <f t="shared" si="9"/>
        <v>0</v>
      </c>
      <c r="BI38" s="176">
        <f t="shared" si="20"/>
        <v>0</v>
      </c>
      <c r="BJ38" s="169">
        <f t="shared" si="21"/>
        <v>0</v>
      </c>
      <c r="BK38" s="177">
        <f t="shared" si="10"/>
        <v>0</v>
      </c>
      <c r="BL38" s="176">
        <f t="shared" si="22"/>
        <v>0</v>
      </c>
      <c r="BM38" s="169">
        <f t="shared" si="23"/>
        <v>0</v>
      </c>
      <c r="BN38" s="177">
        <f t="shared" si="11"/>
        <v>0</v>
      </c>
      <c r="BO38" s="176">
        <f t="shared" si="24"/>
        <v>0</v>
      </c>
      <c r="BP38" s="169">
        <f t="shared" si="25"/>
        <v>0</v>
      </c>
      <c r="BQ38" s="177">
        <f t="shared" si="12"/>
        <v>0</v>
      </c>
      <c r="BR38" s="182">
        <f t="shared" si="13"/>
        <v>0</v>
      </c>
      <c r="CO38" s="8" t="str">
        <f t="shared" si="1"/>
        <v>OUI</v>
      </c>
    </row>
    <row r="39" spans="1:94" s="8" customFormat="1" ht="13.5" customHeight="1" x14ac:dyDescent="0.2">
      <c r="A39" s="36">
        <f t="shared" si="14"/>
        <v>44958</v>
      </c>
      <c r="B39" s="1">
        <f>IF($B$38="","",IF(EDATE($B$38,1)&lt;=$D$17,EDATE($B$38,1),""))</f>
        <v>44958</v>
      </c>
      <c r="C39" s="88" t="str">
        <f>+IF(B39="","","Février"&amp;" "&amp;YEAR(B39))</f>
        <v>Février 2023</v>
      </c>
      <c r="D39" s="198">
        <v>2.5</v>
      </c>
      <c r="E39" s="199"/>
      <c r="F39" s="112">
        <f t="shared" si="2"/>
        <v>0</v>
      </c>
      <c r="G39" s="112">
        <f t="shared" si="15"/>
        <v>693.33</v>
      </c>
      <c r="H39" s="200"/>
      <c r="J39" s="200">
        <v>693.33</v>
      </c>
      <c r="K39" s="201"/>
      <c r="M39" s="88" t="str">
        <f t="shared" si="3"/>
        <v>Février 2023</v>
      </c>
      <c r="N39" s="198"/>
      <c r="P39" s="200"/>
      <c r="AY39" s="167">
        <f t="shared" si="4"/>
        <v>0</v>
      </c>
      <c r="AZ39" s="169">
        <f t="shared" si="5"/>
        <v>0</v>
      </c>
      <c r="BA39" s="169">
        <f t="shared" si="16"/>
        <v>0</v>
      </c>
      <c r="BB39" s="171">
        <f t="shared" si="6"/>
        <v>0</v>
      </c>
      <c r="BC39" s="176">
        <f t="shared" si="26"/>
        <v>0</v>
      </c>
      <c r="BD39" s="169">
        <f t="shared" si="17"/>
        <v>0</v>
      </c>
      <c r="BE39" s="177">
        <f t="shared" si="8"/>
        <v>0</v>
      </c>
      <c r="BF39" s="176">
        <f t="shared" si="18"/>
        <v>0</v>
      </c>
      <c r="BG39" s="169">
        <f t="shared" si="19"/>
        <v>0</v>
      </c>
      <c r="BH39" s="177">
        <f t="shared" si="9"/>
        <v>0</v>
      </c>
      <c r="BI39" s="176">
        <f t="shared" si="20"/>
        <v>0</v>
      </c>
      <c r="BJ39" s="169">
        <f t="shared" si="21"/>
        <v>0</v>
      </c>
      <c r="BK39" s="177">
        <f t="shared" si="10"/>
        <v>0</v>
      </c>
      <c r="BL39" s="176">
        <f t="shared" si="22"/>
        <v>0</v>
      </c>
      <c r="BM39" s="169">
        <f t="shared" si="23"/>
        <v>0</v>
      </c>
      <c r="BN39" s="177">
        <f t="shared" si="11"/>
        <v>0</v>
      </c>
      <c r="BO39" s="176">
        <f t="shared" si="24"/>
        <v>0</v>
      </c>
      <c r="BP39" s="169">
        <f t="shared" si="25"/>
        <v>0</v>
      </c>
      <c r="BQ39" s="177">
        <f t="shared" si="12"/>
        <v>0</v>
      </c>
      <c r="BR39" s="182">
        <f t="shared" si="13"/>
        <v>0</v>
      </c>
      <c r="CO39" s="8" t="str">
        <f t="shared" si="1"/>
        <v>OUI</v>
      </c>
    </row>
    <row r="40" spans="1:94" s="8" customFormat="1" ht="13.5" customHeight="1" x14ac:dyDescent="0.2">
      <c r="A40" s="36">
        <f t="shared" si="14"/>
        <v>44986</v>
      </c>
      <c r="B40" s="1">
        <f>IF($B$39="","",IF(EDATE($B$39,1)&lt;=$D$17,EDATE($B$39,1),""))</f>
        <v>44986</v>
      </c>
      <c r="C40" s="88" t="str">
        <f>+IF(B40="","","Mars"&amp;" "&amp;YEAR(B40))</f>
        <v>Mars 2023</v>
      </c>
      <c r="D40" s="198">
        <v>2.5</v>
      </c>
      <c r="E40" s="199"/>
      <c r="F40" s="112">
        <f t="shared" si="2"/>
        <v>0</v>
      </c>
      <c r="G40" s="112">
        <f t="shared" si="15"/>
        <v>693.33</v>
      </c>
      <c r="H40" s="200"/>
      <c r="J40" s="200">
        <v>693.33</v>
      </c>
      <c r="K40" s="201"/>
      <c r="M40" s="88" t="str">
        <f t="shared" si="3"/>
        <v>Mars 2023</v>
      </c>
      <c r="N40" s="198"/>
      <c r="P40" s="200"/>
      <c r="AY40" s="167">
        <f t="shared" si="4"/>
        <v>0</v>
      </c>
      <c r="AZ40" s="169">
        <f t="shared" si="5"/>
        <v>0</v>
      </c>
      <c r="BA40" s="169">
        <f t="shared" si="16"/>
        <v>0</v>
      </c>
      <c r="BB40" s="171">
        <f t="shared" si="6"/>
        <v>0</v>
      </c>
      <c r="BC40" s="176">
        <f t="shared" si="26"/>
        <v>0</v>
      </c>
      <c r="BD40" s="169">
        <f t="shared" si="17"/>
        <v>0</v>
      </c>
      <c r="BE40" s="177">
        <f t="shared" si="8"/>
        <v>0</v>
      </c>
      <c r="BF40" s="176">
        <f t="shared" si="18"/>
        <v>0</v>
      </c>
      <c r="BG40" s="169">
        <f t="shared" si="19"/>
        <v>0</v>
      </c>
      <c r="BH40" s="177">
        <f t="shared" si="9"/>
        <v>0</v>
      </c>
      <c r="BI40" s="176">
        <f t="shared" si="20"/>
        <v>0</v>
      </c>
      <c r="BJ40" s="169">
        <f t="shared" si="21"/>
        <v>0</v>
      </c>
      <c r="BK40" s="177">
        <f t="shared" si="10"/>
        <v>0</v>
      </c>
      <c r="BL40" s="176">
        <f t="shared" si="22"/>
        <v>0</v>
      </c>
      <c r="BM40" s="169">
        <f t="shared" si="23"/>
        <v>0</v>
      </c>
      <c r="BN40" s="177">
        <f t="shared" si="11"/>
        <v>0</v>
      </c>
      <c r="BO40" s="176">
        <f t="shared" si="24"/>
        <v>0</v>
      </c>
      <c r="BP40" s="169">
        <f t="shared" si="25"/>
        <v>0</v>
      </c>
      <c r="BQ40" s="177">
        <f t="shared" si="12"/>
        <v>0</v>
      </c>
      <c r="BR40" s="182">
        <f t="shared" si="13"/>
        <v>0</v>
      </c>
      <c r="CO40" s="8" t="str">
        <f t="shared" si="1"/>
        <v>OUI</v>
      </c>
    </row>
    <row r="41" spans="1:94" s="8" customFormat="1" ht="13.5" customHeight="1" x14ac:dyDescent="0.2">
      <c r="A41" s="36">
        <f t="shared" si="14"/>
        <v>45017</v>
      </c>
      <c r="B41" s="1">
        <f>IF($B$40="","",IF(EDATE($B$40,1)&lt;=$D$17,EDATE($B$40,1),""))</f>
        <v>45017</v>
      </c>
      <c r="C41" s="88" t="str">
        <f>+IF(B41="","","Avril"&amp;" "&amp;YEAR(B41))</f>
        <v>Avril 2023</v>
      </c>
      <c r="D41" s="198">
        <v>2.5</v>
      </c>
      <c r="E41" s="199"/>
      <c r="F41" s="112">
        <f t="shared" si="2"/>
        <v>0</v>
      </c>
      <c r="G41" s="112">
        <f t="shared" si="15"/>
        <v>693.33</v>
      </c>
      <c r="H41" s="200"/>
      <c r="J41" s="200">
        <v>693.33</v>
      </c>
      <c r="K41" s="201"/>
      <c r="M41" s="88" t="str">
        <f t="shared" si="3"/>
        <v>Avril 2023</v>
      </c>
      <c r="N41" s="198"/>
      <c r="P41" s="200"/>
      <c r="AY41" s="167">
        <f t="shared" si="4"/>
        <v>0</v>
      </c>
      <c r="AZ41" s="169">
        <f t="shared" si="5"/>
        <v>0</v>
      </c>
      <c r="BA41" s="169">
        <f t="shared" si="16"/>
        <v>0</v>
      </c>
      <c r="BB41" s="171">
        <f t="shared" si="6"/>
        <v>0</v>
      </c>
      <c r="BC41" s="176">
        <f t="shared" si="26"/>
        <v>0</v>
      </c>
      <c r="BD41" s="169">
        <f t="shared" si="17"/>
        <v>0</v>
      </c>
      <c r="BE41" s="177">
        <f t="shared" si="8"/>
        <v>0</v>
      </c>
      <c r="BF41" s="176">
        <f t="shared" si="18"/>
        <v>0</v>
      </c>
      <c r="BG41" s="169">
        <f t="shared" si="19"/>
        <v>0</v>
      </c>
      <c r="BH41" s="177">
        <f t="shared" si="9"/>
        <v>0</v>
      </c>
      <c r="BI41" s="176">
        <f t="shared" si="20"/>
        <v>0</v>
      </c>
      <c r="BJ41" s="169">
        <f t="shared" si="21"/>
        <v>0</v>
      </c>
      <c r="BK41" s="177">
        <f t="shared" si="10"/>
        <v>0</v>
      </c>
      <c r="BL41" s="176">
        <f t="shared" si="22"/>
        <v>0</v>
      </c>
      <c r="BM41" s="169">
        <f t="shared" si="23"/>
        <v>0</v>
      </c>
      <c r="BN41" s="177">
        <f t="shared" si="11"/>
        <v>0</v>
      </c>
      <c r="BO41" s="176">
        <f t="shared" si="24"/>
        <v>0</v>
      </c>
      <c r="BP41" s="169">
        <f t="shared" si="25"/>
        <v>0</v>
      </c>
      <c r="BQ41" s="177">
        <f t="shared" si="12"/>
        <v>0</v>
      </c>
      <c r="BR41" s="182">
        <f t="shared" si="13"/>
        <v>0</v>
      </c>
      <c r="CO41" s="8" t="str">
        <f t="shared" si="1"/>
        <v>OUI</v>
      </c>
    </row>
    <row r="42" spans="1:94" s="8" customFormat="1" ht="13.5" customHeight="1" x14ac:dyDescent="0.2">
      <c r="A42" s="36">
        <f t="shared" si="14"/>
        <v>45047</v>
      </c>
      <c r="B42" s="1">
        <f>IF($B$41="","",IF(EDATE($B$41,1)&lt;=$D$17,EDATE($B$41,1),""))</f>
        <v>45047</v>
      </c>
      <c r="C42" s="88" t="str">
        <f>+IF(B42="","","Mai"&amp;" "&amp;YEAR(B42))</f>
        <v>Mai 2023</v>
      </c>
      <c r="D42" s="198">
        <v>2.5</v>
      </c>
      <c r="E42" s="199"/>
      <c r="F42" s="112">
        <f t="shared" si="2"/>
        <v>0</v>
      </c>
      <c r="G42" s="112">
        <f t="shared" si="15"/>
        <v>693.33</v>
      </c>
      <c r="H42" s="200"/>
      <c r="J42" s="200">
        <v>693.33</v>
      </c>
      <c r="K42" s="201"/>
      <c r="M42" s="88" t="str">
        <f t="shared" si="3"/>
        <v>Mai 2023</v>
      </c>
      <c r="N42" s="198"/>
      <c r="P42" s="200"/>
      <c r="AY42" s="168">
        <f t="shared" si="4"/>
        <v>0</v>
      </c>
      <c r="AZ42" s="170">
        <f t="shared" si="5"/>
        <v>0</v>
      </c>
      <c r="BA42" s="170">
        <f t="shared" si="16"/>
        <v>0</v>
      </c>
      <c r="BB42" s="172">
        <f t="shared" si="6"/>
        <v>0</v>
      </c>
      <c r="BC42" s="178">
        <f t="shared" si="26"/>
        <v>0</v>
      </c>
      <c r="BD42" s="170">
        <f t="shared" si="17"/>
        <v>0</v>
      </c>
      <c r="BE42" s="179">
        <f t="shared" si="8"/>
        <v>0</v>
      </c>
      <c r="BF42" s="178">
        <f t="shared" si="18"/>
        <v>0</v>
      </c>
      <c r="BG42" s="170">
        <f t="shared" si="19"/>
        <v>0</v>
      </c>
      <c r="BH42" s="179">
        <f t="shared" si="9"/>
        <v>0</v>
      </c>
      <c r="BI42" s="178">
        <f t="shared" si="20"/>
        <v>0</v>
      </c>
      <c r="BJ42" s="170">
        <f t="shared" si="21"/>
        <v>0</v>
      </c>
      <c r="BK42" s="179">
        <f t="shared" si="10"/>
        <v>0</v>
      </c>
      <c r="BL42" s="178">
        <f t="shared" si="22"/>
        <v>0</v>
      </c>
      <c r="BM42" s="170">
        <f t="shared" si="23"/>
        <v>0</v>
      </c>
      <c r="BN42" s="179">
        <f t="shared" si="11"/>
        <v>0</v>
      </c>
      <c r="BO42" s="178">
        <f t="shared" si="24"/>
        <v>0</v>
      </c>
      <c r="BP42" s="170">
        <f t="shared" si="25"/>
        <v>0</v>
      </c>
      <c r="BQ42" s="179">
        <f t="shared" si="12"/>
        <v>0</v>
      </c>
      <c r="BR42" s="183">
        <f t="shared" si="13"/>
        <v>0</v>
      </c>
      <c r="CO42" s="8" t="str">
        <f t="shared" si="1"/>
        <v>OUI</v>
      </c>
      <c r="CP42" s="8" t="s">
        <v>81</v>
      </c>
    </row>
    <row r="43" spans="1:94" s="8" customFormat="1" ht="12.75" x14ac:dyDescent="0.2">
      <c r="A43" s="4"/>
      <c r="B43" s="6"/>
      <c r="C43" s="38" t="s">
        <v>82</v>
      </c>
      <c r="D43" s="39">
        <f>+N45</f>
        <v>0</v>
      </c>
      <c r="F43" s="125"/>
      <c r="G43" s="125"/>
      <c r="J43" s="40">
        <f>+P45</f>
        <v>0</v>
      </c>
      <c r="BR43" s="166"/>
    </row>
    <row r="44" spans="1:94" s="8" customFormat="1" ht="13.5" customHeight="1" x14ac:dyDescent="0.2">
      <c r="A44" s="36"/>
      <c r="B44" s="1"/>
      <c r="C44" s="41" t="s">
        <v>83</v>
      </c>
      <c r="D44" s="202">
        <v>2</v>
      </c>
      <c r="E44" s="43"/>
      <c r="F44" s="125"/>
      <c r="G44" s="125"/>
      <c r="J44" s="116"/>
      <c r="K44" s="134"/>
      <c r="BB44" s="173">
        <f>SUM(BB31:BB42)</f>
        <v>0</v>
      </c>
      <c r="BE44" s="173">
        <f>SUM(BE31:BE42)</f>
        <v>0</v>
      </c>
      <c r="BH44" s="173">
        <f>SUM(BH31:BH42)</f>
        <v>0</v>
      </c>
      <c r="BK44" s="173">
        <f>SUM(BK31:BK42)</f>
        <v>0</v>
      </c>
      <c r="BN44" s="173">
        <f>SUM(BN31:BN42)</f>
        <v>0</v>
      </c>
      <c r="BQ44" s="173">
        <f>SUM(BQ31:BQ42)</f>
        <v>0</v>
      </c>
      <c r="BR44" s="184">
        <f>SUM(BR31:BR43)</f>
        <v>0</v>
      </c>
      <c r="CP44" s="8" t="str">
        <f>+IF(C49="","NON","OUI")</f>
        <v>OUI</v>
      </c>
    </row>
    <row r="45" spans="1:94" s="8" customFormat="1" ht="40.5" customHeight="1" x14ac:dyDescent="0.2">
      <c r="A45" s="36"/>
      <c r="B45" s="1"/>
      <c r="C45" s="157" t="s">
        <v>84</v>
      </c>
      <c r="D45" s="155">
        <f>MIN(ROUNDUP(SUM(D31:D44),0),30)</f>
        <v>24</v>
      </c>
      <c r="E45" s="165">
        <f>SUM(E31:E42)</f>
        <v>0</v>
      </c>
      <c r="F45" s="204" t="str">
        <f>+IF($E$139&gt;$D$139,"TROP DE JOURS pris par rapport aux jours acquis ou aux jours en cours d'acquisition","")</f>
        <v/>
      </c>
      <c r="G45" s="205"/>
      <c r="H45" s="205"/>
      <c r="J45" s="135">
        <f>SUM(J31:J44)</f>
        <v>6079.9707692307693</v>
      </c>
      <c r="K45" s="118" t="str">
        <f>"Valeur d'un jour ouvrable de CP en 10% = "&amp;ROUND(J45,2)&amp;" € / "&amp;ROUNDUP(SUM(D31:D42),0)&amp;" jrs X 0,10 = "&amp;ROUND(J45/(ROUNDUP(SUM(D31:D42),0))*0.1,2)&amp;" €"</f>
        <v>Valeur d'un jour ouvrable de CP en 10% = 6079,97 € / 22 jrs X 0,10 = 27,64 €</v>
      </c>
      <c r="N45" s="39">
        <f>SUM(N31:N42)</f>
        <v>0</v>
      </c>
      <c r="P45" s="48">
        <f>SUM(P31:P42)</f>
        <v>0</v>
      </c>
    </row>
    <row r="46" spans="1:94" s="8" customFormat="1" ht="63.75" hidden="1" customHeight="1" x14ac:dyDescent="0.2">
      <c r="A46" s="36"/>
      <c r="B46" s="1"/>
      <c r="C46" s="160" t="s">
        <v>85</v>
      </c>
      <c r="D46" s="161">
        <f>+D45</f>
        <v>24</v>
      </c>
      <c r="E46" s="162">
        <f>+E45</f>
        <v>0</v>
      </c>
      <c r="F46" s="125"/>
      <c r="J46" s="159">
        <f>+J45</f>
        <v>6079.9707692307693</v>
      </c>
    </row>
    <row r="47" spans="1:94" s="8" customFormat="1" ht="46.5" customHeight="1" x14ac:dyDescent="0.2">
      <c r="A47" s="36"/>
      <c r="B47" s="1"/>
      <c r="C47" s="215"/>
      <c r="D47" s="215"/>
      <c r="F47" s="125"/>
      <c r="J47" s="116"/>
      <c r="K47" s="114"/>
      <c r="L47" s="93"/>
      <c r="AX47" s="117"/>
      <c r="AZ47" s="206" t="str">
        <f>+AZ29</f>
        <v>Période : 
Septembre 2022 à Mai 2023</v>
      </c>
      <c r="BA47" s="206"/>
      <c r="BB47" s="206"/>
      <c r="BC47" s="206" t="str">
        <f>+BC29</f>
        <v>Période : 
Juin 2023 à Mai 2024</v>
      </c>
      <c r="BD47" s="206"/>
      <c r="BE47" s="206"/>
      <c r="BF47" s="206" t="str">
        <f t="shared" ref="BF47" si="27">+BF29</f>
        <v>Période de : 
Juin 2024 à Mai 2025</v>
      </c>
      <c r="BG47" s="206"/>
      <c r="BH47" s="206"/>
      <c r="BI47" s="206" t="str">
        <f t="shared" ref="BI47" si="28">+BI29</f>
        <v>Période de : 
Juin 2025 à Mai 2026</v>
      </c>
      <c r="BJ47" s="206"/>
      <c r="BK47" s="206"/>
      <c r="BL47" s="206" t="str">
        <f t="shared" ref="BL47" si="29">+BL29</f>
        <v>Période de : 
Juin 2026 à Mai 2027</v>
      </c>
      <c r="BM47" s="206"/>
      <c r="BN47" s="206"/>
      <c r="BO47" s="206" t="str">
        <f t="shared" ref="BO47" si="30">+BO29</f>
        <v>Période de : 
Juin 2027 à Mai 2028</v>
      </c>
      <c r="BP47" s="206"/>
      <c r="BQ47" s="206"/>
    </row>
    <row r="48" spans="1:94" s="8" customFormat="1" ht="63.75" customHeight="1" x14ac:dyDescent="0.2">
      <c r="A48" s="4"/>
      <c r="B48" s="6"/>
      <c r="C48" s="27" t="str">
        <f>"Période : "&amp;CHAR(10)&amp;PROPER(+TEXT(B49,"mmmm"))&amp;" "&amp;YEAR(B49)&amp;" à "&amp;IF(D17&gt;=B60,C60,PROPER(+TEXT(D17,"mmmm"))&amp;" "&amp;YEAR(D17))</f>
        <v>Période : 
Juin 2023 à Mai 2024</v>
      </c>
      <c r="D48" s="27" t="str">
        <f>+D30</f>
        <v>Jours acquis dans l'année</v>
      </c>
      <c r="E48" s="28" t="s">
        <v>87</v>
      </c>
      <c r="F48" s="28" t="s">
        <v>103</v>
      </c>
      <c r="G48" s="27" t="s">
        <v>94</v>
      </c>
      <c r="H48" s="27" t="s">
        <v>90</v>
      </c>
      <c r="I48" s="105"/>
      <c r="J48" s="27" t="str">
        <f>+J30</f>
        <v>Salaires nets de l'année (hors indemnités)</v>
      </c>
      <c r="K48" s="27" t="s">
        <v>74</v>
      </c>
      <c r="M48" s="98" t="str">
        <f>+M30</f>
        <v>Mois</v>
      </c>
      <c r="N48" s="98" t="str">
        <f>+N30</f>
        <v>Jrs acquis en arrêt de maladie (2 jrs par mois)</v>
      </c>
      <c r="P48" s="98" t="str">
        <f>+P30</f>
        <v>80% des Salaires nets correspondants à l'arrêt de maladie</v>
      </c>
      <c r="AY48" s="27" t="s">
        <v>101</v>
      </c>
      <c r="AZ48" s="27" t="s">
        <v>87</v>
      </c>
      <c r="BA48" s="27" t="s">
        <v>104</v>
      </c>
      <c r="BB48" s="27" t="s">
        <v>102</v>
      </c>
      <c r="BC48" s="164" t="s">
        <v>87</v>
      </c>
      <c r="BD48" s="27" t="s">
        <v>104</v>
      </c>
      <c r="BE48" s="27" t="s">
        <v>102</v>
      </c>
      <c r="BF48" s="27" t="s">
        <v>87</v>
      </c>
      <c r="BG48" s="27" t="s">
        <v>104</v>
      </c>
      <c r="BH48" s="27" t="s">
        <v>102</v>
      </c>
      <c r="BI48" s="27" t="s">
        <v>87</v>
      </c>
      <c r="BJ48" s="27" t="s">
        <v>104</v>
      </c>
      <c r="BK48" s="27" t="s">
        <v>102</v>
      </c>
      <c r="BL48" s="27" t="s">
        <v>87</v>
      </c>
      <c r="BM48" s="27" t="s">
        <v>104</v>
      </c>
      <c r="BN48" s="27" t="s">
        <v>102</v>
      </c>
      <c r="BO48" s="27" t="s">
        <v>87</v>
      </c>
      <c r="BP48" s="27" t="s">
        <v>104</v>
      </c>
      <c r="BQ48" s="27" t="s">
        <v>102</v>
      </c>
      <c r="BR48" s="27" t="s">
        <v>105</v>
      </c>
      <c r="CO48" s="108" t="s">
        <v>77</v>
      </c>
    </row>
    <row r="49" spans="1:94" s="8" customFormat="1" ht="13.5" customHeight="1" x14ac:dyDescent="0.2">
      <c r="A49" s="36">
        <f>EDATE(A42,1)</f>
        <v>45078</v>
      </c>
      <c r="B49" s="1">
        <f>IF($B$42="","",IF(EDATE($B$42,1)&lt;=$D$17,EDATE($B$42,1),""))</f>
        <v>45078</v>
      </c>
      <c r="C49" s="88" t="str">
        <f>+IF(B49="","","Juin"&amp;" "&amp;YEAR(B49))</f>
        <v>Juin 2023</v>
      </c>
      <c r="D49" s="198">
        <v>2.5</v>
      </c>
      <c r="E49" s="199"/>
      <c r="F49" s="112">
        <f>IF(E49&gt;=0.1,G49/26,0)</f>
        <v>0</v>
      </c>
      <c r="G49" s="112">
        <f>+IF(H49="",G42,H49)</f>
        <v>693.33</v>
      </c>
      <c r="H49" s="200"/>
      <c r="J49" s="200">
        <v>693.33</v>
      </c>
      <c r="K49" s="201"/>
      <c r="M49" s="88" t="str">
        <f t="shared" ref="M49:M60" si="31">+C49</f>
        <v>Juin 2023</v>
      </c>
      <c r="N49" s="198"/>
      <c r="P49" s="200"/>
      <c r="AY49" s="185">
        <f>IF(E49&gt;=0.1,G49/26,0)</f>
        <v>0</v>
      </c>
      <c r="AZ49" s="169">
        <f>IF($E49&gt;=0.1,+MIN($E49,$D$45-$BA42),0)</f>
        <v>0</v>
      </c>
      <c r="BA49" s="169">
        <f>+AZ49+BA42</f>
        <v>0</v>
      </c>
      <c r="BB49" s="171">
        <f>+AZ49*$AY49</f>
        <v>0</v>
      </c>
      <c r="BC49" s="176">
        <f>IF($E49&gt;=0.1,MIN($E49-$AZ49,$D$63-$BD42),0)</f>
        <v>0</v>
      </c>
      <c r="BD49" s="169">
        <f>+BC49+BD42</f>
        <v>0</v>
      </c>
      <c r="BE49" s="175">
        <f>+BC49*$AY49</f>
        <v>0</v>
      </c>
      <c r="BF49" s="176">
        <f>IF($E49&gt;=0.1,MIN($E49-$AZ49-$BC49,$D$81-$BG42),0)</f>
        <v>0</v>
      </c>
      <c r="BG49" s="169">
        <f>+BF49+BG42</f>
        <v>0</v>
      </c>
      <c r="BH49" s="175">
        <f>+BF49*$AY49</f>
        <v>0</v>
      </c>
      <c r="BI49" s="176">
        <f>IF($E49&gt;=0.1,MIN($E49-$AZ49-$BC49-$BF49,$D$99-$BJ42),0)</f>
        <v>0</v>
      </c>
      <c r="BJ49" s="169">
        <f>+BI49+BJ42</f>
        <v>0</v>
      </c>
      <c r="BK49" s="175">
        <f>+BI49*$AY49</f>
        <v>0</v>
      </c>
      <c r="BL49" s="176">
        <f>IF($E49&gt;=0.1,MIN($E49-$AZ49-$BC49-$BF49-$BI49,$D$117-$BM42),0)</f>
        <v>0</v>
      </c>
      <c r="BM49" s="169">
        <f>+BL49+BM42</f>
        <v>0</v>
      </c>
      <c r="BN49" s="175">
        <f>+BL49*$AY49</f>
        <v>0</v>
      </c>
      <c r="BO49" s="176">
        <f>IF($E49&gt;=0.1,MIN($E49-$AZ49-$BC49-$BF49-$BI49-$BL49,$D$136-$BP42),0)</f>
        <v>0</v>
      </c>
      <c r="BP49" s="169">
        <f>+BO49+BP42</f>
        <v>0</v>
      </c>
      <c r="BQ49" s="175">
        <f>+BO49*$AY49</f>
        <v>0</v>
      </c>
      <c r="BR49" s="181">
        <f>+BO49+BL49+BI49+BF49+BC49+AZ49</f>
        <v>0</v>
      </c>
      <c r="CO49" s="8" t="str">
        <f t="shared" ref="CO49:CO60" si="32">IF(B49="","NON",+IF(AND(DATE(YEAR(B49),MONTH(B49),1)&gt;=DATE(YEAR($D$15),MONTH($D$15),1),DATE(YEAR(B49),MONTH(B49),1)&lt;=DATE(YEAR($D$17),MONTH($D$17),1)),"OUI","NON"))</f>
        <v>OUI</v>
      </c>
    </row>
    <row r="50" spans="1:94" s="8" customFormat="1" ht="13.5" customHeight="1" x14ac:dyDescent="0.2">
      <c r="A50" s="36">
        <f>EDATE(A49,1)</f>
        <v>45108</v>
      </c>
      <c r="B50" s="1">
        <f>IF($B$49="","",IF(EDATE($B$49,1)&lt;=$D$17,EDATE($B$49,1),""))</f>
        <v>45108</v>
      </c>
      <c r="C50" s="88" t="str">
        <f>+IF(B50="","","Juillet"&amp;" "&amp;YEAR(B50))</f>
        <v>Juillet 2023</v>
      </c>
      <c r="D50" s="198">
        <v>2.5</v>
      </c>
      <c r="E50" s="199"/>
      <c r="F50" s="112">
        <f t="shared" ref="F50:F60" si="33">IF(E50&gt;=0.1,G50/26,0)</f>
        <v>0</v>
      </c>
      <c r="G50" s="112">
        <f>+IF(H50="",G49,H50)</f>
        <v>693.33</v>
      </c>
      <c r="H50" s="200"/>
      <c r="J50" s="200">
        <v>693.33</v>
      </c>
      <c r="K50" s="201"/>
      <c r="M50" s="88" t="str">
        <f t="shared" si="31"/>
        <v>Juillet 2023</v>
      </c>
      <c r="N50" s="198"/>
      <c r="P50" s="200"/>
      <c r="AY50" s="167">
        <f t="shared" ref="AY50:AY60" si="34">IF(E50&gt;=0.1,G50/26,0)</f>
        <v>0</v>
      </c>
      <c r="AZ50" s="169">
        <f t="shared" ref="AZ50:AZ60" si="35">IF($E50&gt;=0.1,+MIN($E50,$D$45-$BA49),0)</f>
        <v>0</v>
      </c>
      <c r="BA50" s="169">
        <f>+BA49+AZ50</f>
        <v>0</v>
      </c>
      <c r="BB50" s="171">
        <f t="shared" ref="BB50:BB60" si="36">+AZ50*$AY50</f>
        <v>0</v>
      </c>
      <c r="BC50" s="176">
        <f t="shared" ref="BC50:BC54" si="37">IF($E50&gt;=0.1,MIN($E50-$AZ50,$D$63-$BD49),0)</f>
        <v>0</v>
      </c>
      <c r="BD50" s="169">
        <f>+BD49+BC50</f>
        <v>0</v>
      </c>
      <c r="BE50" s="177">
        <f t="shared" ref="BE50:BE60" si="38">+BC50*$AY50</f>
        <v>0</v>
      </c>
      <c r="BF50" s="176">
        <f>IF($E50&gt;=0.1,MIN($E50-$AZ50-$BC50,$D$81-$BG49),0)</f>
        <v>0</v>
      </c>
      <c r="BG50" s="169">
        <f>+BG49+BF50</f>
        <v>0</v>
      </c>
      <c r="BH50" s="177">
        <f t="shared" ref="BH50:BH60" si="39">+BF50*$AY50</f>
        <v>0</v>
      </c>
      <c r="BI50" s="176">
        <f>IF($E50&gt;=0.1,MIN($E50-$AZ50-$BC50-$BF50,$D$99-$BJ49),0)</f>
        <v>0</v>
      </c>
      <c r="BJ50" s="169">
        <f>+BJ49+BI50</f>
        <v>0</v>
      </c>
      <c r="BK50" s="177">
        <f t="shared" ref="BK50:BK60" si="40">+BI50*$AY50</f>
        <v>0</v>
      </c>
      <c r="BL50" s="176">
        <f>IF($E50&gt;=0.1,MIN($E50-$AZ50-$BC50-$BF50-$BI50,$D$117-$BM49),0)</f>
        <v>0</v>
      </c>
      <c r="BM50" s="169">
        <f>+BM49+BL50</f>
        <v>0</v>
      </c>
      <c r="BN50" s="177">
        <f t="shared" ref="BN50:BN60" si="41">+BL50*$AY50</f>
        <v>0</v>
      </c>
      <c r="BO50" s="176">
        <f>IF($E50&gt;=0.1,MIN($E50-$AZ50-$BC50-$BF50-$BI50-$BL50,$D$136-$BP49),0)</f>
        <v>0</v>
      </c>
      <c r="BP50" s="169">
        <f>+BP49+BO50</f>
        <v>0</v>
      </c>
      <c r="BQ50" s="177">
        <f t="shared" ref="BQ50:BQ60" si="42">+BO50*$AY50</f>
        <v>0</v>
      </c>
      <c r="BR50" s="182">
        <f t="shared" ref="BR50:BR60" si="43">+BO50+BL50+BI50+BF50+BC50+AZ50</f>
        <v>0</v>
      </c>
      <c r="CO50" s="8" t="str">
        <f t="shared" si="32"/>
        <v>OUI</v>
      </c>
    </row>
    <row r="51" spans="1:94" s="8" customFormat="1" ht="13.5" customHeight="1" x14ac:dyDescent="0.2">
      <c r="A51" s="36">
        <f t="shared" ref="A51:A60" si="44">EDATE(A50,1)</f>
        <v>45139</v>
      </c>
      <c r="B51" s="1">
        <f>IF($B$50="","",IF(EDATE($B$50,1)&lt;=$D$17,EDATE($B$50,1),""))</f>
        <v>45139</v>
      </c>
      <c r="C51" s="88" t="str">
        <f>+IF(B51="","","Aout"&amp;" "&amp;YEAR(B51))</f>
        <v>Aout 2023</v>
      </c>
      <c r="D51" s="198">
        <v>2.5</v>
      </c>
      <c r="E51" s="199">
        <v>23</v>
      </c>
      <c r="F51" s="112">
        <f t="shared" si="33"/>
        <v>26.666538461538462</v>
      </c>
      <c r="G51" s="112">
        <f t="shared" ref="G51:G60" si="45">+IF(H51="",G50,H51)</f>
        <v>693.33</v>
      </c>
      <c r="H51" s="200"/>
      <c r="J51" s="200">
        <v>693.33</v>
      </c>
      <c r="K51" s="201"/>
      <c r="M51" s="88" t="str">
        <f t="shared" si="31"/>
        <v>Aout 2023</v>
      </c>
      <c r="N51" s="198"/>
      <c r="P51" s="200"/>
      <c r="AY51" s="167">
        <f t="shared" si="34"/>
        <v>26.666538461538462</v>
      </c>
      <c r="AZ51" s="169">
        <f t="shared" si="35"/>
        <v>23</v>
      </c>
      <c r="BA51" s="169">
        <f t="shared" ref="BA51:BA60" si="46">+BA50+AZ51</f>
        <v>23</v>
      </c>
      <c r="BB51" s="171">
        <f t="shared" si="36"/>
        <v>613.33038461538467</v>
      </c>
      <c r="BC51" s="176">
        <f t="shared" si="37"/>
        <v>0</v>
      </c>
      <c r="BD51" s="169">
        <f t="shared" ref="BD51:BD60" si="47">+BD50+BC51</f>
        <v>0</v>
      </c>
      <c r="BE51" s="177">
        <f t="shared" si="38"/>
        <v>0</v>
      </c>
      <c r="BF51" s="176">
        <f t="shared" ref="BF51:BF60" si="48">IF($E51&gt;=0.1,MIN($E51-$AZ51-$BC51,$D$81-$BG50),0)</f>
        <v>0</v>
      </c>
      <c r="BG51" s="169">
        <f t="shared" ref="BG51:BG60" si="49">+BG50+BF51</f>
        <v>0</v>
      </c>
      <c r="BH51" s="177">
        <f t="shared" si="39"/>
        <v>0</v>
      </c>
      <c r="BI51" s="176">
        <f t="shared" ref="BI51:BI60" si="50">IF($E51&gt;=0.1,MIN($E51-$AZ51-$BC51-$BF51,$D$99-$BJ50),0)</f>
        <v>0</v>
      </c>
      <c r="BJ51" s="169">
        <f t="shared" ref="BJ51:BJ60" si="51">+BJ50+BI51</f>
        <v>0</v>
      </c>
      <c r="BK51" s="177">
        <f t="shared" si="40"/>
        <v>0</v>
      </c>
      <c r="BL51" s="176">
        <f t="shared" ref="BL51:BL60" si="52">IF($E51&gt;=0.1,MIN($E51-$AZ51-$BC51-$BF51-$BI51,$D$117-$BM50),0)</f>
        <v>0</v>
      </c>
      <c r="BM51" s="169">
        <f t="shared" ref="BM51:BM60" si="53">+BM50+BL51</f>
        <v>0</v>
      </c>
      <c r="BN51" s="177">
        <f t="shared" si="41"/>
        <v>0</v>
      </c>
      <c r="BO51" s="176">
        <f t="shared" ref="BO51:BO60" si="54">IF($E51&gt;=0.1,MIN($E51-$AZ51-$BC51-$BF51-$BI51-$BL51,$D$136-$BP50),0)</f>
        <v>0</v>
      </c>
      <c r="BP51" s="169">
        <f t="shared" ref="BP51:BP60" si="55">+BP50+BO51</f>
        <v>0</v>
      </c>
      <c r="BQ51" s="177">
        <f t="shared" si="42"/>
        <v>0</v>
      </c>
      <c r="BR51" s="182">
        <f t="shared" si="43"/>
        <v>23</v>
      </c>
      <c r="CO51" s="8" t="str">
        <f t="shared" si="32"/>
        <v>OUI</v>
      </c>
    </row>
    <row r="52" spans="1:94" s="8" customFormat="1" ht="13.5" customHeight="1" x14ac:dyDescent="0.2">
      <c r="A52" s="36">
        <f t="shared" si="44"/>
        <v>45170</v>
      </c>
      <c r="B52" s="1">
        <f>IF($B$51="","",IF(EDATE($B$51,1)&lt;=$D$17,EDATE($B$51,1),""))</f>
        <v>45170</v>
      </c>
      <c r="C52" s="88" t="str">
        <f>+IF(B52="","","Septembre"&amp;" "&amp;YEAR(B52))</f>
        <v>Septembre 2023</v>
      </c>
      <c r="D52" s="198">
        <v>2.5</v>
      </c>
      <c r="E52" s="199"/>
      <c r="F52" s="112">
        <f t="shared" si="33"/>
        <v>0</v>
      </c>
      <c r="G52" s="112">
        <f t="shared" si="45"/>
        <v>693.33</v>
      </c>
      <c r="H52" s="200"/>
      <c r="J52" s="200">
        <v>693.33</v>
      </c>
      <c r="K52" s="201"/>
      <c r="M52" s="88" t="str">
        <f t="shared" si="31"/>
        <v>Septembre 2023</v>
      </c>
      <c r="N52" s="198"/>
      <c r="P52" s="200"/>
      <c r="AY52" s="167">
        <f t="shared" si="34"/>
        <v>0</v>
      </c>
      <c r="AZ52" s="169">
        <f t="shared" si="35"/>
        <v>0</v>
      </c>
      <c r="BA52" s="169">
        <f t="shared" si="46"/>
        <v>23</v>
      </c>
      <c r="BB52" s="171">
        <f t="shared" si="36"/>
        <v>0</v>
      </c>
      <c r="BC52" s="176">
        <f t="shared" si="37"/>
        <v>0</v>
      </c>
      <c r="BD52" s="169">
        <f t="shared" si="47"/>
        <v>0</v>
      </c>
      <c r="BE52" s="177">
        <f t="shared" si="38"/>
        <v>0</v>
      </c>
      <c r="BF52" s="176">
        <f t="shared" si="48"/>
        <v>0</v>
      </c>
      <c r="BG52" s="169">
        <f t="shared" si="49"/>
        <v>0</v>
      </c>
      <c r="BH52" s="177">
        <f t="shared" si="39"/>
        <v>0</v>
      </c>
      <c r="BI52" s="176">
        <f t="shared" si="50"/>
        <v>0</v>
      </c>
      <c r="BJ52" s="169">
        <f t="shared" si="51"/>
        <v>0</v>
      </c>
      <c r="BK52" s="177">
        <f t="shared" si="40"/>
        <v>0</v>
      </c>
      <c r="BL52" s="176">
        <f t="shared" si="52"/>
        <v>0</v>
      </c>
      <c r="BM52" s="169">
        <f t="shared" si="53"/>
        <v>0</v>
      </c>
      <c r="BN52" s="177">
        <f t="shared" si="41"/>
        <v>0</v>
      </c>
      <c r="BO52" s="176">
        <f t="shared" si="54"/>
        <v>0</v>
      </c>
      <c r="BP52" s="169">
        <f t="shared" si="55"/>
        <v>0</v>
      </c>
      <c r="BQ52" s="177">
        <f t="shared" si="42"/>
        <v>0</v>
      </c>
      <c r="BR52" s="182">
        <f t="shared" si="43"/>
        <v>0</v>
      </c>
      <c r="CO52" s="8" t="str">
        <f t="shared" si="32"/>
        <v>OUI</v>
      </c>
    </row>
    <row r="53" spans="1:94" s="8" customFormat="1" ht="13.5" customHeight="1" x14ac:dyDescent="0.2">
      <c r="A53" s="36">
        <f t="shared" si="44"/>
        <v>45200</v>
      </c>
      <c r="B53" s="1">
        <f>IF($B$52="","",IF(EDATE($B$52,1)&lt;=$D$17,EDATE($B$52,1),""))</f>
        <v>45200</v>
      </c>
      <c r="C53" s="88" t="str">
        <f>+IF(B53="","","Octobre"&amp;" "&amp;YEAR(B53))</f>
        <v>Octobre 2023</v>
      </c>
      <c r="D53" s="198">
        <v>2.5</v>
      </c>
      <c r="E53" s="199"/>
      <c r="F53" s="112">
        <f t="shared" si="33"/>
        <v>0</v>
      </c>
      <c r="G53" s="112">
        <f t="shared" si="45"/>
        <v>693.33</v>
      </c>
      <c r="H53" s="200"/>
      <c r="J53" s="200">
        <v>693.33</v>
      </c>
      <c r="K53" s="201"/>
      <c r="M53" s="88" t="str">
        <f t="shared" si="31"/>
        <v>Octobre 2023</v>
      </c>
      <c r="N53" s="198"/>
      <c r="P53" s="200"/>
      <c r="AY53" s="167">
        <f t="shared" si="34"/>
        <v>0</v>
      </c>
      <c r="AZ53" s="169">
        <f t="shared" si="35"/>
        <v>0</v>
      </c>
      <c r="BA53" s="169">
        <f t="shared" si="46"/>
        <v>23</v>
      </c>
      <c r="BB53" s="171">
        <f t="shared" si="36"/>
        <v>0</v>
      </c>
      <c r="BC53" s="176">
        <f t="shared" si="37"/>
        <v>0</v>
      </c>
      <c r="BD53" s="169">
        <f t="shared" si="47"/>
        <v>0</v>
      </c>
      <c r="BE53" s="177">
        <f t="shared" si="38"/>
        <v>0</v>
      </c>
      <c r="BF53" s="176">
        <f t="shared" si="48"/>
        <v>0</v>
      </c>
      <c r="BG53" s="169">
        <f t="shared" si="49"/>
        <v>0</v>
      </c>
      <c r="BH53" s="177">
        <f t="shared" si="39"/>
        <v>0</v>
      </c>
      <c r="BI53" s="176">
        <f t="shared" si="50"/>
        <v>0</v>
      </c>
      <c r="BJ53" s="169">
        <f t="shared" si="51"/>
        <v>0</v>
      </c>
      <c r="BK53" s="177">
        <f t="shared" si="40"/>
        <v>0</v>
      </c>
      <c r="BL53" s="176">
        <f t="shared" si="52"/>
        <v>0</v>
      </c>
      <c r="BM53" s="169">
        <f t="shared" si="53"/>
        <v>0</v>
      </c>
      <c r="BN53" s="177">
        <f t="shared" si="41"/>
        <v>0</v>
      </c>
      <c r="BO53" s="176">
        <f t="shared" si="54"/>
        <v>0</v>
      </c>
      <c r="BP53" s="169">
        <f t="shared" si="55"/>
        <v>0</v>
      </c>
      <c r="BQ53" s="177">
        <f t="shared" si="42"/>
        <v>0</v>
      </c>
      <c r="BR53" s="182">
        <f t="shared" si="43"/>
        <v>0</v>
      </c>
      <c r="CO53" s="8" t="str">
        <f t="shared" si="32"/>
        <v>OUI</v>
      </c>
    </row>
    <row r="54" spans="1:94" s="8" customFormat="1" ht="13.5" customHeight="1" x14ac:dyDescent="0.2">
      <c r="A54" s="36">
        <f t="shared" si="44"/>
        <v>45231</v>
      </c>
      <c r="B54" s="1">
        <f>IF($B$53="","",IF(EDATE($B$53,1)&lt;=$D$17,EDATE($B$53,1),""))</f>
        <v>45231</v>
      </c>
      <c r="C54" s="88" t="str">
        <f>+IF(B54="","","Novembre"&amp;" "&amp;YEAR(B54))</f>
        <v>Novembre 2023</v>
      </c>
      <c r="D54" s="198">
        <v>2.5</v>
      </c>
      <c r="E54" s="199"/>
      <c r="F54" s="112">
        <f t="shared" si="33"/>
        <v>0</v>
      </c>
      <c r="G54" s="112">
        <f t="shared" si="45"/>
        <v>693.33</v>
      </c>
      <c r="H54" s="200"/>
      <c r="J54" s="200">
        <v>693.33</v>
      </c>
      <c r="K54" s="201"/>
      <c r="M54" s="88" t="str">
        <f t="shared" si="31"/>
        <v>Novembre 2023</v>
      </c>
      <c r="N54" s="198"/>
      <c r="P54" s="200"/>
      <c r="AY54" s="167">
        <f t="shared" si="34"/>
        <v>0</v>
      </c>
      <c r="AZ54" s="169">
        <f t="shared" si="35"/>
        <v>0</v>
      </c>
      <c r="BA54" s="169">
        <f t="shared" si="46"/>
        <v>23</v>
      </c>
      <c r="BB54" s="171">
        <f t="shared" si="36"/>
        <v>0</v>
      </c>
      <c r="BC54" s="176">
        <f t="shared" si="37"/>
        <v>0</v>
      </c>
      <c r="BD54" s="169">
        <f t="shared" si="47"/>
        <v>0</v>
      </c>
      <c r="BE54" s="177">
        <f t="shared" si="38"/>
        <v>0</v>
      </c>
      <c r="BF54" s="176">
        <f t="shared" si="48"/>
        <v>0</v>
      </c>
      <c r="BG54" s="169">
        <f t="shared" si="49"/>
        <v>0</v>
      </c>
      <c r="BH54" s="177">
        <f t="shared" si="39"/>
        <v>0</v>
      </c>
      <c r="BI54" s="176">
        <f t="shared" si="50"/>
        <v>0</v>
      </c>
      <c r="BJ54" s="169">
        <f t="shared" si="51"/>
        <v>0</v>
      </c>
      <c r="BK54" s="177">
        <f t="shared" si="40"/>
        <v>0</v>
      </c>
      <c r="BL54" s="176">
        <f t="shared" si="52"/>
        <v>0</v>
      </c>
      <c r="BM54" s="169">
        <f t="shared" si="53"/>
        <v>0</v>
      </c>
      <c r="BN54" s="177">
        <f t="shared" si="41"/>
        <v>0</v>
      </c>
      <c r="BO54" s="176">
        <f t="shared" si="54"/>
        <v>0</v>
      </c>
      <c r="BP54" s="169">
        <f t="shared" si="55"/>
        <v>0</v>
      </c>
      <c r="BQ54" s="177">
        <f t="shared" si="42"/>
        <v>0</v>
      </c>
      <c r="BR54" s="182">
        <f t="shared" si="43"/>
        <v>0</v>
      </c>
      <c r="CO54" s="8" t="str">
        <f t="shared" si="32"/>
        <v>OUI</v>
      </c>
    </row>
    <row r="55" spans="1:94" s="8" customFormat="1" ht="13.5" customHeight="1" x14ac:dyDescent="0.2">
      <c r="A55" s="36">
        <f t="shared" si="44"/>
        <v>45261</v>
      </c>
      <c r="B55" s="1">
        <f>IF($B$54="","",IF(EDATE($B$54,1)&lt;=$D$17,EDATE($B$54,1),""))</f>
        <v>45261</v>
      </c>
      <c r="C55" s="88" t="str">
        <f>+IF(B55="","","Décembre"&amp;" "&amp;YEAR(B55))</f>
        <v>Décembre 2023</v>
      </c>
      <c r="D55" s="198">
        <f>2.5/26*22</f>
        <v>2.1153846153846154</v>
      </c>
      <c r="E55" s="199">
        <v>1</v>
      </c>
      <c r="F55" s="112">
        <f t="shared" si="33"/>
        <v>26.666538461538462</v>
      </c>
      <c r="G55" s="112">
        <f t="shared" si="45"/>
        <v>693.33</v>
      </c>
      <c r="H55" s="200"/>
      <c r="J55" s="200">
        <f>693.33/26*22</f>
        <v>586.66384615384618</v>
      </c>
      <c r="K55" s="201"/>
      <c r="M55" s="88" t="str">
        <f t="shared" si="31"/>
        <v>Décembre 2023</v>
      </c>
      <c r="N55" s="198"/>
      <c r="P55" s="200"/>
      <c r="AY55" s="167">
        <f t="shared" si="34"/>
        <v>26.666538461538462</v>
      </c>
      <c r="AZ55" s="169">
        <f t="shared" si="35"/>
        <v>1</v>
      </c>
      <c r="BA55" s="169">
        <f t="shared" si="46"/>
        <v>24</v>
      </c>
      <c r="BB55" s="171">
        <f t="shared" si="36"/>
        <v>26.666538461538462</v>
      </c>
      <c r="BC55" s="176">
        <f>IF($E55&gt;=0.1,MIN($E55-$AZ55,$D$63-$BD54),0)</f>
        <v>0</v>
      </c>
      <c r="BD55" s="169">
        <f t="shared" si="47"/>
        <v>0</v>
      </c>
      <c r="BE55" s="177">
        <f t="shared" si="38"/>
        <v>0</v>
      </c>
      <c r="BF55" s="176">
        <f t="shared" si="48"/>
        <v>0</v>
      </c>
      <c r="BG55" s="169">
        <f t="shared" si="49"/>
        <v>0</v>
      </c>
      <c r="BH55" s="177">
        <f t="shared" si="39"/>
        <v>0</v>
      </c>
      <c r="BI55" s="176">
        <f t="shared" si="50"/>
        <v>0</v>
      </c>
      <c r="BJ55" s="169">
        <f t="shared" si="51"/>
        <v>0</v>
      </c>
      <c r="BK55" s="177">
        <f t="shared" si="40"/>
        <v>0</v>
      </c>
      <c r="BL55" s="176">
        <f t="shared" si="52"/>
        <v>0</v>
      </c>
      <c r="BM55" s="169">
        <f t="shared" si="53"/>
        <v>0</v>
      </c>
      <c r="BN55" s="177">
        <f t="shared" si="41"/>
        <v>0</v>
      </c>
      <c r="BO55" s="176">
        <f t="shared" si="54"/>
        <v>0</v>
      </c>
      <c r="BP55" s="169">
        <f t="shared" si="55"/>
        <v>0</v>
      </c>
      <c r="BQ55" s="177">
        <f t="shared" si="42"/>
        <v>0</v>
      </c>
      <c r="BR55" s="182">
        <f t="shared" si="43"/>
        <v>1</v>
      </c>
      <c r="CO55" s="8" t="str">
        <f t="shared" si="32"/>
        <v>OUI</v>
      </c>
    </row>
    <row r="56" spans="1:94" s="8" customFormat="1" ht="13.5" customHeight="1" x14ac:dyDescent="0.2">
      <c r="A56" s="36">
        <f t="shared" si="44"/>
        <v>45292</v>
      </c>
      <c r="B56" s="1">
        <f>IF($B$55="","",IF(EDATE($B$55,1)&lt;=$D$17,EDATE($B$55,1),""))</f>
        <v>45292</v>
      </c>
      <c r="C56" s="88" t="str">
        <f>+IF(B56="","","Janvier"&amp;" "&amp;YEAR(B56))</f>
        <v>Janvier 2024</v>
      </c>
      <c r="D56" s="198">
        <v>2.5</v>
      </c>
      <c r="E56" s="199"/>
      <c r="F56" s="112">
        <f t="shared" si="33"/>
        <v>0</v>
      </c>
      <c r="G56" s="112">
        <f t="shared" si="45"/>
        <v>693.33</v>
      </c>
      <c r="H56" s="200"/>
      <c r="J56" s="200">
        <v>693.33</v>
      </c>
      <c r="K56" s="201"/>
      <c r="M56" s="88" t="str">
        <f t="shared" si="31"/>
        <v>Janvier 2024</v>
      </c>
      <c r="N56" s="198"/>
      <c r="P56" s="200"/>
      <c r="AY56" s="167">
        <f t="shared" si="34"/>
        <v>0</v>
      </c>
      <c r="AZ56" s="169">
        <f t="shared" si="35"/>
        <v>0</v>
      </c>
      <c r="BA56" s="169">
        <f t="shared" si="46"/>
        <v>24</v>
      </c>
      <c r="BB56" s="171">
        <f t="shared" si="36"/>
        <v>0</v>
      </c>
      <c r="BC56" s="176">
        <f t="shared" ref="BC56:BC60" si="56">IF($E56&gt;=0.1,MIN($E56-$AZ56,$D$63-$BD55),0)</f>
        <v>0</v>
      </c>
      <c r="BD56" s="169">
        <f t="shared" si="47"/>
        <v>0</v>
      </c>
      <c r="BE56" s="177">
        <f t="shared" si="38"/>
        <v>0</v>
      </c>
      <c r="BF56" s="176">
        <f t="shared" si="48"/>
        <v>0</v>
      </c>
      <c r="BG56" s="169">
        <f t="shared" si="49"/>
        <v>0</v>
      </c>
      <c r="BH56" s="177">
        <f t="shared" si="39"/>
        <v>0</v>
      </c>
      <c r="BI56" s="176">
        <f t="shared" si="50"/>
        <v>0</v>
      </c>
      <c r="BJ56" s="169">
        <f t="shared" si="51"/>
        <v>0</v>
      </c>
      <c r="BK56" s="177">
        <f t="shared" si="40"/>
        <v>0</v>
      </c>
      <c r="BL56" s="176">
        <f t="shared" si="52"/>
        <v>0</v>
      </c>
      <c r="BM56" s="169">
        <f t="shared" si="53"/>
        <v>0</v>
      </c>
      <c r="BN56" s="177">
        <f t="shared" si="41"/>
        <v>0</v>
      </c>
      <c r="BO56" s="176">
        <f t="shared" si="54"/>
        <v>0</v>
      </c>
      <c r="BP56" s="169">
        <f t="shared" si="55"/>
        <v>0</v>
      </c>
      <c r="BQ56" s="177">
        <f t="shared" si="42"/>
        <v>0</v>
      </c>
      <c r="BR56" s="182">
        <f t="shared" si="43"/>
        <v>0</v>
      </c>
      <c r="CO56" s="8" t="str">
        <f t="shared" si="32"/>
        <v>OUI</v>
      </c>
    </row>
    <row r="57" spans="1:94" s="8" customFormat="1" ht="13.5" customHeight="1" x14ac:dyDescent="0.2">
      <c r="A57" s="36">
        <f t="shared" si="44"/>
        <v>45323</v>
      </c>
      <c r="B57" s="1">
        <f>IF($B$56="","",IF(EDATE($B$56,1)&lt;=$D$17,EDATE($B$56,1),""))</f>
        <v>45323</v>
      </c>
      <c r="C57" s="88" t="str">
        <f>+IF(B57="","","Février"&amp;" "&amp;YEAR(B57))</f>
        <v>Février 2024</v>
      </c>
      <c r="D57" s="198">
        <v>2.5</v>
      </c>
      <c r="E57" s="199"/>
      <c r="F57" s="112">
        <f t="shared" si="33"/>
        <v>0</v>
      </c>
      <c r="G57" s="112">
        <f t="shared" si="45"/>
        <v>693.33</v>
      </c>
      <c r="H57" s="200"/>
      <c r="J57" s="200">
        <v>693.33</v>
      </c>
      <c r="K57" s="201"/>
      <c r="M57" s="88" t="str">
        <f t="shared" si="31"/>
        <v>Février 2024</v>
      </c>
      <c r="N57" s="198"/>
      <c r="P57" s="200"/>
      <c r="AY57" s="167">
        <f t="shared" si="34"/>
        <v>0</v>
      </c>
      <c r="AZ57" s="169">
        <f t="shared" si="35"/>
        <v>0</v>
      </c>
      <c r="BA57" s="169">
        <f t="shared" si="46"/>
        <v>24</v>
      </c>
      <c r="BB57" s="171">
        <f t="shared" si="36"/>
        <v>0</v>
      </c>
      <c r="BC57" s="176">
        <f t="shared" si="56"/>
        <v>0</v>
      </c>
      <c r="BD57" s="169">
        <f t="shared" si="47"/>
        <v>0</v>
      </c>
      <c r="BE57" s="177">
        <f t="shared" si="38"/>
        <v>0</v>
      </c>
      <c r="BF57" s="176">
        <f t="shared" si="48"/>
        <v>0</v>
      </c>
      <c r="BG57" s="169">
        <f t="shared" si="49"/>
        <v>0</v>
      </c>
      <c r="BH57" s="177">
        <f t="shared" si="39"/>
        <v>0</v>
      </c>
      <c r="BI57" s="176">
        <f t="shared" si="50"/>
        <v>0</v>
      </c>
      <c r="BJ57" s="169">
        <f t="shared" si="51"/>
        <v>0</v>
      </c>
      <c r="BK57" s="177">
        <f t="shared" si="40"/>
        <v>0</v>
      </c>
      <c r="BL57" s="176">
        <f t="shared" si="52"/>
        <v>0</v>
      </c>
      <c r="BM57" s="169">
        <f t="shared" si="53"/>
        <v>0</v>
      </c>
      <c r="BN57" s="177">
        <f t="shared" si="41"/>
        <v>0</v>
      </c>
      <c r="BO57" s="176">
        <f t="shared" si="54"/>
        <v>0</v>
      </c>
      <c r="BP57" s="169">
        <f t="shared" si="55"/>
        <v>0</v>
      </c>
      <c r="BQ57" s="177">
        <f t="shared" si="42"/>
        <v>0</v>
      </c>
      <c r="BR57" s="182">
        <f t="shared" si="43"/>
        <v>0</v>
      </c>
      <c r="CO57" s="8" t="str">
        <f t="shared" si="32"/>
        <v>OUI</v>
      </c>
    </row>
    <row r="58" spans="1:94" s="8" customFormat="1" ht="13.5" customHeight="1" x14ac:dyDescent="0.2">
      <c r="A58" s="36">
        <f t="shared" si="44"/>
        <v>45352</v>
      </c>
      <c r="B58" s="1">
        <f>IF($B$57="","",IF(EDATE($B$57,1)&lt;=$D$17,EDATE($B$57,1),""))</f>
        <v>45352</v>
      </c>
      <c r="C58" s="88" t="str">
        <f>+IF(B58="","","Mars"&amp;" "&amp;YEAR(B58))</f>
        <v>Mars 2024</v>
      </c>
      <c r="D58" s="198">
        <v>2.5</v>
      </c>
      <c r="E58" s="199"/>
      <c r="F58" s="112">
        <f t="shared" si="33"/>
        <v>0</v>
      </c>
      <c r="G58" s="112">
        <f t="shared" si="45"/>
        <v>693.33</v>
      </c>
      <c r="H58" s="200"/>
      <c r="J58" s="200">
        <v>693.33</v>
      </c>
      <c r="K58" s="201"/>
      <c r="M58" s="88" t="str">
        <f t="shared" si="31"/>
        <v>Mars 2024</v>
      </c>
      <c r="N58" s="198"/>
      <c r="P58" s="200"/>
      <c r="AY58" s="167">
        <f t="shared" si="34"/>
        <v>0</v>
      </c>
      <c r="AZ58" s="169">
        <f t="shared" si="35"/>
        <v>0</v>
      </c>
      <c r="BA58" s="169">
        <f t="shared" si="46"/>
        <v>24</v>
      </c>
      <c r="BB58" s="171">
        <f t="shared" si="36"/>
        <v>0</v>
      </c>
      <c r="BC58" s="176">
        <f t="shared" si="56"/>
        <v>0</v>
      </c>
      <c r="BD58" s="169">
        <f t="shared" si="47"/>
        <v>0</v>
      </c>
      <c r="BE58" s="177">
        <f t="shared" si="38"/>
        <v>0</v>
      </c>
      <c r="BF58" s="176">
        <f t="shared" si="48"/>
        <v>0</v>
      </c>
      <c r="BG58" s="169">
        <f t="shared" si="49"/>
        <v>0</v>
      </c>
      <c r="BH58" s="177">
        <f t="shared" si="39"/>
        <v>0</v>
      </c>
      <c r="BI58" s="176">
        <f t="shared" si="50"/>
        <v>0</v>
      </c>
      <c r="BJ58" s="169">
        <f t="shared" si="51"/>
        <v>0</v>
      </c>
      <c r="BK58" s="177">
        <f t="shared" si="40"/>
        <v>0</v>
      </c>
      <c r="BL58" s="176">
        <f t="shared" si="52"/>
        <v>0</v>
      </c>
      <c r="BM58" s="169">
        <f t="shared" si="53"/>
        <v>0</v>
      </c>
      <c r="BN58" s="177">
        <f t="shared" si="41"/>
        <v>0</v>
      </c>
      <c r="BO58" s="176">
        <f t="shared" si="54"/>
        <v>0</v>
      </c>
      <c r="BP58" s="169">
        <f t="shared" si="55"/>
        <v>0</v>
      </c>
      <c r="BQ58" s="177">
        <f t="shared" si="42"/>
        <v>0</v>
      </c>
      <c r="BR58" s="182">
        <f t="shared" si="43"/>
        <v>0</v>
      </c>
      <c r="CO58" s="8" t="str">
        <f t="shared" si="32"/>
        <v>OUI</v>
      </c>
    </row>
    <row r="59" spans="1:94" s="8" customFormat="1" ht="13.5" customHeight="1" x14ac:dyDescent="0.2">
      <c r="A59" s="36">
        <f t="shared" si="44"/>
        <v>45383</v>
      </c>
      <c r="B59" s="1">
        <f>IF($B$58="","",IF(EDATE($B$58,1)&lt;=$D$17,EDATE($B$58,1),""))</f>
        <v>45383</v>
      </c>
      <c r="C59" s="88" t="str">
        <f>+IF(B59="","","Avril"&amp;" "&amp;YEAR(B59))</f>
        <v>Avril 2024</v>
      </c>
      <c r="D59" s="198">
        <v>2.5</v>
      </c>
      <c r="E59" s="199"/>
      <c r="F59" s="112">
        <f t="shared" si="33"/>
        <v>0</v>
      </c>
      <c r="G59" s="112">
        <f t="shared" si="45"/>
        <v>693.33</v>
      </c>
      <c r="H59" s="200"/>
      <c r="J59" s="200">
        <v>693.33</v>
      </c>
      <c r="K59" s="201"/>
      <c r="M59" s="88" t="str">
        <f t="shared" si="31"/>
        <v>Avril 2024</v>
      </c>
      <c r="N59" s="198"/>
      <c r="P59" s="200"/>
      <c r="AY59" s="167">
        <f t="shared" si="34"/>
        <v>0</v>
      </c>
      <c r="AZ59" s="169">
        <f t="shared" si="35"/>
        <v>0</v>
      </c>
      <c r="BA59" s="169">
        <f t="shared" si="46"/>
        <v>24</v>
      </c>
      <c r="BB59" s="171">
        <f t="shared" si="36"/>
        <v>0</v>
      </c>
      <c r="BC59" s="176">
        <f t="shared" si="56"/>
        <v>0</v>
      </c>
      <c r="BD59" s="169">
        <f t="shared" si="47"/>
        <v>0</v>
      </c>
      <c r="BE59" s="177">
        <f t="shared" si="38"/>
        <v>0</v>
      </c>
      <c r="BF59" s="176">
        <f t="shared" si="48"/>
        <v>0</v>
      </c>
      <c r="BG59" s="169">
        <f t="shared" si="49"/>
        <v>0</v>
      </c>
      <c r="BH59" s="177">
        <f t="shared" si="39"/>
        <v>0</v>
      </c>
      <c r="BI59" s="176">
        <f t="shared" si="50"/>
        <v>0</v>
      </c>
      <c r="BJ59" s="169">
        <f t="shared" si="51"/>
        <v>0</v>
      </c>
      <c r="BK59" s="177">
        <f t="shared" si="40"/>
        <v>0</v>
      </c>
      <c r="BL59" s="176">
        <f t="shared" si="52"/>
        <v>0</v>
      </c>
      <c r="BM59" s="169">
        <f t="shared" si="53"/>
        <v>0</v>
      </c>
      <c r="BN59" s="177">
        <f t="shared" si="41"/>
        <v>0</v>
      </c>
      <c r="BO59" s="176">
        <f t="shared" si="54"/>
        <v>0</v>
      </c>
      <c r="BP59" s="169">
        <f t="shared" si="55"/>
        <v>0</v>
      </c>
      <c r="BQ59" s="177">
        <f t="shared" si="42"/>
        <v>0</v>
      </c>
      <c r="BR59" s="182">
        <f t="shared" si="43"/>
        <v>0</v>
      </c>
      <c r="CO59" s="8" t="str">
        <f t="shared" si="32"/>
        <v>OUI</v>
      </c>
    </row>
    <row r="60" spans="1:94" s="8" customFormat="1" ht="13.5" customHeight="1" x14ac:dyDescent="0.2">
      <c r="A60" s="36">
        <f t="shared" si="44"/>
        <v>45413</v>
      </c>
      <c r="B60" s="1">
        <f>IF($B$59="","",IF(EDATE($B$59,1)&lt;=$D$17,EDATE($B$59,1),""))</f>
        <v>45413</v>
      </c>
      <c r="C60" s="88" t="str">
        <f>+IF(B60="","","Mai"&amp;" "&amp;YEAR(B60))</f>
        <v>Mai 2024</v>
      </c>
      <c r="D60" s="198">
        <v>2.5</v>
      </c>
      <c r="E60" s="199"/>
      <c r="F60" s="112">
        <f t="shared" si="33"/>
        <v>0</v>
      </c>
      <c r="G60" s="112">
        <f t="shared" si="45"/>
        <v>693.33</v>
      </c>
      <c r="H60" s="200"/>
      <c r="J60" s="200">
        <v>693.33</v>
      </c>
      <c r="K60" s="201"/>
      <c r="M60" s="88" t="str">
        <f t="shared" si="31"/>
        <v>Mai 2024</v>
      </c>
      <c r="N60" s="198"/>
      <c r="P60" s="200"/>
      <c r="AY60" s="168">
        <f t="shared" si="34"/>
        <v>0</v>
      </c>
      <c r="AZ60" s="170">
        <f t="shared" si="35"/>
        <v>0</v>
      </c>
      <c r="BA60" s="170">
        <f t="shared" si="46"/>
        <v>24</v>
      </c>
      <c r="BB60" s="172">
        <f t="shared" si="36"/>
        <v>0</v>
      </c>
      <c r="BC60" s="178">
        <f t="shared" si="56"/>
        <v>0</v>
      </c>
      <c r="BD60" s="170">
        <f t="shared" si="47"/>
        <v>0</v>
      </c>
      <c r="BE60" s="179">
        <f t="shared" si="38"/>
        <v>0</v>
      </c>
      <c r="BF60" s="178">
        <f t="shared" si="48"/>
        <v>0</v>
      </c>
      <c r="BG60" s="170">
        <f t="shared" si="49"/>
        <v>0</v>
      </c>
      <c r="BH60" s="179">
        <f t="shared" si="39"/>
        <v>0</v>
      </c>
      <c r="BI60" s="178">
        <f t="shared" si="50"/>
        <v>0</v>
      </c>
      <c r="BJ60" s="170">
        <f t="shared" si="51"/>
        <v>0</v>
      </c>
      <c r="BK60" s="179">
        <f t="shared" si="40"/>
        <v>0</v>
      </c>
      <c r="BL60" s="178">
        <f t="shared" si="52"/>
        <v>0</v>
      </c>
      <c r="BM60" s="170">
        <f t="shared" si="53"/>
        <v>0</v>
      </c>
      <c r="BN60" s="179">
        <f t="shared" si="41"/>
        <v>0</v>
      </c>
      <c r="BO60" s="178">
        <f t="shared" si="54"/>
        <v>0</v>
      </c>
      <c r="BP60" s="170">
        <f t="shared" si="55"/>
        <v>0</v>
      </c>
      <c r="BQ60" s="179">
        <f t="shared" si="42"/>
        <v>0</v>
      </c>
      <c r="BR60" s="183">
        <f t="shared" si="43"/>
        <v>0</v>
      </c>
      <c r="CO60" s="8" t="str">
        <f t="shared" si="32"/>
        <v>OUI</v>
      </c>
      <c r="CP60" s="8" t="s">
        <v>81</v>
      </c>
    </row>
    <row r="61" spans="1:94" s="8" customFormat="1" ht="12.75" x14ac:dyDescent="0.2">
      <c r="A61" s="4"/>
      <c r="B61" s="6"/>
      <c r="C61" s="38" t="s">
        <v>82</v>
      </c>
      <c r="D61" s="39">
        <f>+N63</f>
        <v>0</v>
      </c>
      <c r="F61" s="125"/>
      <c r="G61" s="125"/>
      <c r="J61" s="40">
        <f>+P63</f>
        <v>0</v>
      </c>
      <c r="BR61" s="166"/>
    </row>
    <row r="62" spans="1:94" s="8" customFormat="1" ht="13.5" customHeight="1" x14ac:dyDescent="0.2">
      <c r="A62" s="36"/>
      <c r="B62" s="1"/>
      <c r="C62" s="41" t="s">
        <v>83</v>
      </c>
      <c r="D62" s="202"/>
      <c r="E62" s="43"/>
      <c r="F62" s="125"/>
      <c r="G62" s="125"/>
      <c r="H62" s="91"/>
      <c r="J62" s="116"/>
      <c r="K62" s="134"/>
      <c r="BB62" s="173">
        <f>SUM(BB49:BB60)</f>
        <v>639.99692307692317</v>
      </c>
      <c r="BE62" s="173">
        <f>SUM(BE49:BE60)</f>
        <v>0</v>
      </c>
      <c r="BH62" s="173">
        <f>SUM(BH49:BH60)</f>
        <v>0</v>
      </c>
      <c r="BK62" s="173">
        <f>SUM(BK49:BK60)</f>
        <v>0</v>
      </c>
      <c r="BN62" s="173">
        <f>SUM(BN49:BN60)</f>
        <v>0</v>
      </c>
      <c r="BQ62" s="173">
        <f>SUM(BQ49:BQ60)</f>
        <v>0</v>
      </c>
      <c r="BR62" s="184">
        <f>SUM(BR49:BR61)</f>
        <v>24</v>
      </c>
      <c r="CP62" s="8" t="str">
        <f>+IF(C67="","NON","OUI")</f>
        <v>OUI</v>
      </c>
    </row>
    <row r="63" spans="1:94" s="8" customFormat="1" ht="40.5" customHeight="1" x14ac:dyDescent="0.2">
      <c r="A63" s="36"/>
      <c r="B63" s="1"/>
      <c r="C63" s="157" t="s">
        <v>84</v>
      </c>
      <c r="D63" s="155">
        <f>MIN(ROUNDUP(SUM(D49:D62),0),30)</f>
        <v>30</v>
      </c>
      <c r="E63" s="165">
        <f>SUM(E49:E60)</f>
        <v>24</v>
      </c>
      <c r="F63" s="204" t="str">
        <f>+IF($E$139&gt;$D$139,"TROP DE JOURS pris par rapport aux jours acquis ou aux jours en cours d'acquisition","")</f>
        <v/>
      </c>
      <c r="G63" s="205"/>
      <c r="H63" s="205"/>
      <c r="J63" s="135">
        <f>SUM(J49:J62)</f>
        <v>8213.293846153847</v>
      </c>
      <c r="K63" s="118" t="str">
        <f>"Valeur d'un jour ouvrable de CP en 10% = "&amp;ROUND(J63,2)&amp;" € / "&amp;ROUNDUP(SUM(D49:D60),0)&amp;" jrs X 0,10 = "&amp;ROUND(J63/(ROUNDUP(SUM(D49:D60),0))*0.1,2)&amp;" €"</f>
        <v>Valeur d'un jour ouvrable de CP en 10% = 8213,29 € / 30 jrs X 0,10 = 27,38 €</v>
      </c>
      <c r="N63" s="39">
        <f>SUM(N49:N60)</f>
        <v>0</v>
      </c>
      <c r="P63" s="48">
        <f>SUM(P49:P60)</f>
        <v>0</v>
      </c>
    </row>
    <row r="64" spans="1:94" s="8" customFormat="1" ht="29.25" hidden="1" customHeight="1" x14ac:dyDescent="0.2">
      <c r="A64" s="36"/>
      <c r="B64" s="1"/>
      <c r="C64" s="156" t="s">
        <v>85</v>
      </c>
      <c r="D64" s="153">
        <f>+D46+D63</f>
        <v>54</v>
      </c>
      <c r="E64" s="154">
        <f>+E46+E63</f>
        <v>24</v>
      </c>
      <c r="J64" s="52">
        <f>+J46+J63</f>
        <v>14293.264615384616</v>
      </c>
      <c r="K64" s="114"/>
      <c r="L64" s="93"/>
    </row>
    <row r="65" spans="1:94" s="8" customFormat="1" ht="40.5" customHeight="1" x14ac:dyDescent="0.2">
      <c r="A65" s="36"/>
      <c r="B65" s="1"/>
      <c r="C65" s="58"/>
      <c r="D65" s="59"/>
      <c r="E65" s="60"/>
      <c r="J65" s="61"/>
      <c r="K65" s="114"/>
      <c r="AZ65" s="206" t="str">
        <f>+AZ47</f>
        <v>Période : 
Septembre 2022 à Mai 2023</v>
      </c>
      <c r="BA65" s="206"/>
      <c r="BB65" s="206"/>
      <c r="BC65" s="206" t="str">
        <f>+BC47</f>
        <v>Période : 
Juin 2023 à Mai 2024</v>
      </c>
      <c r="BD65" s="206"/>
      <c r="BE65" s="206"/>
      <c r="BF65" s="206" t="str">
        <f t="shared" ref="BF65" si="57">+BF47</f>
        <v>Période de : 
Juin 2024 à Mai 2025</v>
      </c>
      <c r="BG65" s="206"/>
      <c r="BH65" s="206"/>
      <c r="BI65" s="206" t="str">
        <f t="shared" ref="BI65" si="58">+BI47</f>
        <v>Période de : 
Juin 2025 à Mai 2026</v>
      </c>
      <c r="BJ65" s="206"/>
      <c r="BK65" s="206"/>
      <c r="BL65" s="206" t="str">
        <f t="shared" ref="BL65" si="59">+BL47</f>
        <v>Période de : 
Juin 2026 à Mai 2027</v>
      </c>
      <c r="BM65" s="206"/>
      <c r="BN65" s="206"/>
      <c r="BO65" s="206" t="str">
        <f t="shared" ref="BO65" si="60">+BO47</f>
        <v>Période de : 
Juin 2027 à Mai 2028</v>
      </c>
      <c r="BP65" s="206"/>
      <c r="BQ65" s="206"/>
    </row>
    <row r="66" spans="1:94" s="8" customFormat="1" ht="63.75" x14ac:dyDescent="0.2">
      <c r="A66" s="4"/>
      <c r="B66" s="6"/>
      <c r="C66" s="27" t="str">
        <f>"Période de : "&amp;CHAR(10)&amp;PROPER(+TEXT(B67,"mmmm"))&amp;" "&amp;YEAR(B67)&amp;" à "&amp;IF(D17&gt;=B78,C78,PROPER(+TEXT(D17,"mmmm"))&amp;" "&amp;YEAR(D17))</f>
        <v>Période de : 
Juin 2024 à Mai 2025</v>
      </c>
      <c r="D66" s="27" t="str">
        <f>+D48</f>
        <v>Jours acquis dans l'année</v>
      </c>
      <c r="E66" s="28" t="s">
        <v>87</v>
      </c>
      <c r="F66" s="28" t="s">
        <v>103</v>
      </c>
      <c r="G66" s="27" t="s">
        <v>94</v>
      </c>
      <c r="H66" s="27" t="s">
        <v>90</v>
      </c>
      <c r="I66" s="105"/>
      <c r="J66" s="27" t="str">
        <f>+J48</f>
        <v>Salaires nets de l'année (hors indemnités)</v>
      </c>
      <c r="K66" s="27" t="s">
        <v>74</v>
      </c>
      <c r="M66" s="98" t="str">
        <f>+M30</f>
        <v>Mois</v>
      </c>
      <c r="N66" s="98" t="str">
        <f>+N30</f>
        <v>Jrs acquis en arrêt de maladie (2 jrs par mois)</v>
      </c>
      <c r="P66" s="98" t="str">
        <f>+P30</f>
        <v>80% des Salaires nets correspondants à l'arrêt de maladie</v>
      </c>
      <c r="AY66" s="27" t="s">
        <v>101</v>
      </c>
      <c r="AZ66" s="27" t="s">
        <v>87</v>
      </c>
      <c r="BA66" s="27" t="s">
        <v>104</v>
      </c>
      <c r="BB66" s="27" t="s">
        <v>102</v>
      </c>
      <c r="BC66" s="164" t="s">
        <v>87</v>
      </c>
      <c r="BD66" s="27" t="s">
        <v>104</v>
      </c>
      <c r="BE66" s="27" t="s">
        <v>102</v>
      </c>
      <c r="BF66" s="27" t="s">
        <v>87</v>
      </c>
      <c r="BG66" s="27" t="s">
        <v>104</v>
      </c>
      <c r="BH66" s="27" t="s">
        <v>102</v>
      </c>
      <c r="BI66" s="27" t="s">
        <v>87</v>
      </c>
      <c r="BJ66" s="27" t="s">
        <v>104</v>
      </c>
      <c r="BK66" s="27" t="s">
        <v>102</v>
      </c>
      <c r="BL66" s="27" t="s">
        <v>87</v>
      </c>
      <c r="BM66" s="27" t="s">
        <v>104</v>
      </c>
      <c r="BN66" s="27" t="s">
        <v>102</v>
      </c>
      <c r="BO66" s="27" t="s">
        <v>87</v>
      </c>
      <c r="BP66" s="27" t="s">
        <v>104</v>
      </c>
      <c r="BQ66" s="27" t="s">
        <v>102</v>
      </c>
      <c r="BR66" s="27" t="s">
        <v>105</v>
      </c>
      <c r="CO66" s="108" t="s">
        <v>77</v>
      </c>
    </row>
    <row r="67" spans="1:94" s="8" customFormat="1" ht="13.5" customHeight="1" x14ac:dyDescent="0.2">
      <c r="A67" s="36">
        <f>EDATE(A60,1)</f>
        <v>45444</v>
      </c>
      <c r="B67" s="1">
        <f>IF($B$60="","",IF(EDATE($B$60,1)&lt;=$D$17,EDATE($B$60,1),""))</f>
        <v>45444</v>
      </c>
      <c r="C67" s="88" t="str">
        <f>+IF(B67="","","Juin"&amp;" "&amp;YEAR(B67))</f>
        <v>Juin 2024</v>
      </c>
      <c r="D67" s="198">
        <v>2.5</v>
      </c>
      <c r="E67" s="199"/>
      <c r="F67" s="112">
        <f>IF(E67&gt;=0.1,G67/26,0)</f>
        <v>0</v>
      </c>
      <c r="G67" s="112">
        <f>+IF(H67="",G60,H67)</f>
        <v>693.33</v>
      </c>
      <c r="H67" s="200"/>
      <c r="J67" s="200">
        <v>693.33</v>
      </c>
      <c r="K67" s="201"/>
      <c r="M67" s="88" t="str">
        <f>+C67</f>
        <v>Juin 2024</v>
      </c>
      <c r="N67" s="198"/>
      <c r="P67" s="200"/>
      <c r="AY67" s="185">
        <f>IF(E67&gt;=0.1,G67/26,0)</f>
        <v>0</v>
      </c>
      <c r="AZ67" s="169">
        <f>IF($E67&gt;=0.1,+MIN($E67,$D$45-$BA60),0)</f>
        <v>0</v>
      </c>
      <c r="BA67" s="169">
        <f>+AZ67+BA60</f>
        <v>24</v>
      </c>
      <c r="BB67" s="171">
        <f>+AZ67*$AY67</f>
        <v>0</v>
      </c>
      <c r="BC67" s="176">
        <f>IF($E67&gt;=0.1,MIN($E67-$AZ67,$D$63-$BD60),0)</f>
        <v>0</v>
      </c>
      <c r="BD67" s="169">
        <f>+BC67+BD60</f>
        <v>0</v>
      </c>
      <c r="BE67" s="175">
        <f>+BC67*$AY67</f>
        <v>0</v>
      </c>
      <c r="BF67" s="176">
        <f>IF($E67&gt;=0.1,MIN($E67-$AZ67-$BC67,$D$81-$BG60),0)</f>
        <v>0</v>
      </c>
      <c r="BG67" s="169">
        <f>+BF67+BG60</f>
        <v>0</v>
      </c>
      <c r="BH67" s="175">
        <f>+BF67*$AY67</f>
        <v>0</v>
      </c>
      <c r="BI67" s="176">
        <f>IF($E67&gt;=0.1,MIN($E67-$AZ67-$BC67-$BF67,$D$99-$BJ60),0)</f>
        <v>0</v>
      </c>
      <c r="BJ67" s="169">
        <f>+BI67+BJ60</f>
        <v>0</v>
      </c>
      <c r="BK67" s="175">
        <f>+BI67*$AY67</f>
        <v>0</v>
      </c>
      <c r="BL67" s="176">
        <f>IF($E67&gt;=0.1,MIN($E67-$AZ67-$BC67-$BF67-$BI67,$D$117-$BM60),0)</f>
        <v>0</v>
      </c>
      <c r="BM67" s="169">
        <f>+BL67+BM60</f>
        <v>0</v>
      </c>
      <c r="BN67" s="175">
        <f>+BL67*$AY67</f>
        <v>0</v>
      </c>
      <c r="BO67" s="176">
        <f>IF($E67&gt;=0.1,MIN($E67-$AZ67-$BC67-$BF67-$BI67-$BL67,$D$136-$BP60),0)</f>
        <v>0</v>
      </c>
      <c r="BP67" s="169">
        <f>+BO67+BP60</f>
        <v>0</v>
      </c>
      <c r="BQ67" s="175">
        <f>+BO67*$AY67</f>
        <v>0</v>
      </c>
      <c r="BR67" s="181">
        <f>+BO67+BL67+BI67+BF67+BC67+AZ67</f>
        <v>0</v>
      </c>
      <c r="CO67" s="8" t="str">
        <f t="shared" ref="CO67:CO78" si="61">IF(B67="","NON",+IF(AND(DATE(YEAR(B67),MONTH(B67),1)&gt;=DATE(YEAR($D$15),MONTH($D$15),1),DATE(YEAR(B67),MONTH(B67),1)&lt;=DATE(YEAR($D$17),MONTH($D$17),1)),"OUI","NON"))</f>
        <v>OUI</v>
      </c>
    </row>
    <row r="68" spans="1:94" s="8" customFormat="1" ht="13.5" customHeight="1" x14ac:dyDescent="0.2">
      <c r="A68" s="36">
        <f>+EDATE(A67,1)</f>
        <v>45474</v>
      </c>
      <c r="B68" s="1">
        <f>IF($B$67="","",IF(EDATE($B$67,1)&lt;=$D$17,EDATE($B$67,1),""))</f>
        <v>45474</v>
      </c>
      <c r="C68" s="88" t="str">
        <f>+IF(B68="","","Juillet"&amp;" "&amp;YEAR(B68))</f>
        <v>Juillet 2024</v>
      </c>
      <c r="D68" s="198">
        <v>2.5</v>
      </c>
      <c r="E68" s="199"/>
      <c r="F68" s="112">
        <f t="shared" ref="F68:F78" si="62">IF(E68&gt;=0.1,G68/26,0)</f>
        <v>0</v>
      </c>
      <c r="G68" s="112">
        <f>+IF(H68="",G67,H68)</f>
        <v>693.33</v>
      </c>
      <c r="H68" s="200"/>
      <c r="J68" s="200">
        <v>693.33</v>
      </c>
      <c r="K68" s="201"/>
      <c r="M68" s="88" t="str">
        <f t="shared" ref="M68:M78" si="63">+C68</f>
        <v>Juillet 2024</v>
      </c>
      <c r="N68" s="198"/>
      <c r="P68" s="200"/>
      <c r="AY68" s="167">
        <f t="shared" ref="AY68:AY78" si="64">IF(E68&gt;=0.1,G68/26,0)</f>
        <v>0</v>
      </c>
      <c r="AZ68" s="169">
        <f t="shared" ref="AZ68:AZ78" si="65">IF($E68&gt;=0.1,+MIN($E68,$D$45-$BA67),0)</f>
        <v>0</v>
      </c>
      <c r="BA68" s="169">
        <f>+BA67+AZ68</f>
        <v>24</v>
      </c>
      <c r="BB68" s="171">
        <f t="shared" ref="BB68:BB78" si="66">+AZ68*$AY68</f>
        <v>0</v>
      </c>
      <c r="BC68" s="176">
        <f t="shared" ref="BC68:BC72" si="67">IF($E68&gt;=0.1,MIN($E68-$AZ68,$D$63-$BD67),0)</f>
        <v>0</v>
      </c>
      <c r="BD68" s="169">
        <f>+BD67+BC68</f>
        <v>0</v>
      </c>
      <c r="BE68" s="177">
        <f t="shared" ref="BE68:BE78" si="68">+BC68*$AY68</f>
        <v>0</v>
      </c>
      <c r="BF68" s="176">
        <f>IF($E68&gt;=0.1,MIN($E68-$AZ68-$BC68,$D$81-$BG67),0)</f>
        <v>0</v>
      </c>
      <c r="BG68" s="169">
        <f>+BG67+BF68</f>
        <v>0</v>
      </c>
      <c r="BH68" s="177">
        <f t="shared" ref="BH68:BH78" si="69">+BF68*$AY68</f>
        <v>0</v>
      </c>
      <c r="BI68" s="176">
        <f>IF($E68&gt;=0.1,MIN($E68-$AZ68-$BC68-$BF68,$D$99-$BJ67),0)</f>
        <v>0</v>
      </c>
      <c r="BJ68" s="169">
        <f>+BJ67+BI68</f>
        <v>0</v>
      </c>
      <c r="BK68" s="177">
        <f t="shared" ref="BK68:BK78" si="70">+BI68*$AY68</f>
        <v>0</v>
      </c>
      <c r="BL68" s="176">
        <f>IF($E68&gt;=0.1,MIN($E68-$AZ68-$BC68-$BF68-$BI68,$D$117-$BM67),0)</f>
        <v>0</v>
      </c>
      <c r="BM68" s="169">
        <f>+BM67+BL68</f>
        <v>0</v>
      </c>
      <c r="BN68" s="177">
        <f t="shared" ref="BN68:BN78" si="71">+BL68*$AY68</f>
        <v>0</v>
      </c>
      <c r="BO68" s="176">
        <f>IF($E68&gt;=0.1,MIN($E68-$AZ68-$BC68-$BF68-$BI68-$BL68,$D$136-$BP67),0)</f>
        <v>0</v>
      </c>
      <c r="BP68" s="169">
        <f>+BP67+BO68</f>
        <v>0</v>
      </c>
      <c r="BQ68" s="177">
        <f t="shared" ref="BQ68:BQ78" si="72">+BO68*$AY68</f>
        <v>0</v>
      </c>
      <c r="BR68" s="182">
        <f t="shared" ref="BR68:BR78" si="73">+BO68+BL68+BI68+BF68+BC68+AZ68</f>
        <v>0</v>
      </c>
      <c r="CO68" s="8" t="str">
        <f t="shared" si="61"/>
        <v>OUI</v>
      </c>
    </row>
    <row r="69" spans="1:94" s="8" customFormat="1" ht="13.5" customHeight="1" x14ac:dyDescent="0.2">
      <c r="A69" s="36">
        <f t="shared" ref="A69:A78" si="74">+EDATE(A68,1)</f>
        <v>45505</v>
      </c>
      <c r="B69" s="1">
        <f>IF($B$68="","",IF(EDATE($B$68,1)&lt;=$D$17,EDATE($B$68,1),""))</f>
        <v>45505</v>
      </c>
      <c r="C69" s="88" t="str">
        <f>+IF(B69="","","Aout"&amp;" "&amp;YEAR(B69))</f>
        <v>Aout 2024</v>
      </c>
      <c r="D69" s="198">
        <v>2.5</v>
      </c>
      <c r="E69" s="199">
        <v>23</v>
      </c>
      <c r="F69" s="112">
        <f t="shared" si="62"/>
        <v>26.666538461538462</v>
      </c>
      <c r="G69" s="112">
        <f t="shared" ref="G69:G78" si="75">+IF(H69="",G68,H69)</f>
        <v>693.33</v>
      </c>
      <c r="H69" s="200"/>
      <c r="J69" s="200">
        <v>693.33</v>
      </c>
      <c r="K69" s="201"/>
      <c r="M69" s="88" t="str">
        <f t="shared" si="63"/>
        <v>Aout 2024</v>
      </c>
      <c r="N69" s="198"/>
      <c r="P69" s="200"/>
      <c r="AY69" s="167">
        <f t="shared" si="64"/>
        <v>26.666538461538462</v>
      </c>
      <c r="AZ69" s="169">
        <f t="shared" si="65"/>
        <v>0</v>
      </c>
      <c r="BA69" s="169">
        <f t="shared" ref="BA69:BA78" si="76">+BA68+AZ69</f>
        <v>24</v>
      </c>
      <c r="BB69" s="171">
        <f t="shared" si="66"/>
        <v>0</v>
      </c>
      <c r="BC69" s="176">
        <f t="shared" si="67"/>
        <v>23</v>
      </c>
      <c r="BD69" s="169">
        <f t="shared" ref="BD69:BD78" si="77">+BD68+BC69</f>
        <v>23</v>
      </c>
      <c r="BE69" s="177">
        <f t="shared" si="68"/>
        <v>613.33038461538467</v>
      </c>
      <c r="BF69" s="176">
        <f t="shared" ref="BF69:BF78" si="78">IF($E69&gt;=0.1,MIN($E69-$AZ69-$BC69,$D$81-$BG68),0)</f>
        <v>0</v>
      </c>
      <c r="BG69" s="169">
        <f t="shared" ref="BG69:BG78" si="79">+BG68+BF69</f>
        <v>0</v>
      </c>
      <c r="BH69" s="177">
        <f t="shared" si="69"/>
        <v>0</v>
      </c>
      <c r="BI69" s="176">
        <f t="shared" ref="BI69:BI78" si="80">IF($E69&gt;=0.1,MIN($E69-$AZ69-$BC69-$BF69,$D$99-$BJ68),0)</f>
        <v>0</v>
      </c>
      <c r="BJ69" s="169">
        <f t="shared" ref="BJ69:BJ78" si="81">+BJ68+BI69</f>
        <v>0</v>
      </c>
      <c r="BK69" s="177">
        <f t="shared" si="70"/>
        <v>0</v>
      </c>
      <c r="BL69" s="176">
        <f t="shared" ref="BL69:BL78" si="82">IF($E69&gt;=0.1,MIN($E69-$AZ69-$BC69-$BF69-$BI69,$D$117-$BM68),0)</f>
        <v>0</v>
      </c>
      <c r="BM69" s="169">
        <f t="shared" ref="BM69:BM78" si="83">+BM68+BL69</f>
        <v>0</v>
      </c>
      <c r="BN69" s="177">
        <f t="shared" si="71"/>
        <v>0</v>
      </c>
      <c r="BO69" s="176">
        <f t="shared" ref="BO69:BO78" si="84">IF($E69&gt;=0.1,MIN($E69-$AZ69-$BC69-$BF69-$BI69-$BL69,$D$136-$BP68),0)</f>
        <v>0</v>
      </c>
      <c r="BP69" s="169">
        <f t="shared" ref="BP69:BP78" si="85">+BP68+BO69</f>
        <v>0</v>
      </c>
      <c r="BQ69" s="177">
        <f t="shared" si="72"/>
        <v>0</v>
      </c>
      <c r="BR69" s="182">
        <f t="shared" si="73"/>
        <v>23</v>
      </c>
      <c r="CO69" s="8" t="str">
        <f t="shared" si="61"/>
        <v>OUI</v>
      </c>
    </row>
    <row r="70" spans="1:94" s="8" customFormat="1" ht="13.5" customHeight="1" x14ac:dyDescent="0.2">
      <c r="A70" s="36">
        <f t="shared" si="74"/>
        <v>45536</v>
      </c>
      <c r="B70" s="1">
        <f>IF($B$69="","",IF(EDATE($B$69,1)&lt;=$D$17,EDATE($B$69,1),""))</f>
        <v>45536</v>
      </c>
      <c r="C70" s="88" t="str">
        <f>+IF(B70="","","Septembre"&amp;" "&amp;YEAR(B70))</f>
        <v>Septembre 2024</v>
      </c>
      <c r="D70" s="198">
        <v>2.5</v>
      </c>
      <c r="E70" s="199"/>
      <c r="F70" s="112">
        <f t="shared" si="62"/>
        <v>0</v>
      </c>
      <c r="G70" s="112">
        <f t="shared" si="75"/>
        <v>693.33</v>
      </c>
      <c r="H70" s="200"/>
      <c r="J70" s="200">
        <v>693.33</v>
      </c>
      <c r="K70" s="201"/>
      <c r="M70" s="88" t="str">
        <f t="shared" si="63"/>
        <v>Septembre 2024</v>
      </c>
      <c r="N70" s="198"/>
      <c r="P70" s="200"/>
      <c r="AY70" s="167">
        <f t="shared" si="64"/>
        <v>0</v>
      </c>
      <c r="AZ70" s="169">
        <f t="shared" si="65"/>
        <v>0</v>
      </c>
      <c r="BA70" s="169">
        <f t="shared" si="76"/>
        <v>24</v>
      </c>
      <c r="BB70" s="171">
        <f t="shared" si="66"/>
        <v>0</v>
      </c>
      <c r="BC70" s="176">
        <f t="shared" si="67"/>
        <v>0</v>
      </c>
      <c r="BD70" s="169">
        <f t="shared" si="77"/>
        <v>23</v>
      </c>
      <c r="BE70" s="177">
        <f t="shared" si="68"/>
        <v>0</v>
      </c>
      <c r="BF70" s="176">
        <f t="shared" si="78"/>
        <v>0</v>
      </c>
      <c r="BG70" s="169">
        <f t="shared" si="79"/>
        <v>0</v>
      </c>
      <c r="BH70" s="177">
        <f t="shared" si="69"/>
        <v>0</v>
      </c>
      <c r="BI70" s="176">
        <f t="shared" si="80"/>
        <v>0</v>
      </c>
      <c r="BJ70" s="169">
        <f t="shared" si="81"/>
        <v>0</v>
      </c>
      <c r="BK70" s="177">
        <f t="shared" si="70"/>
        <v>0</v>
      </c>
      <c r="BL70" s="176">
        <f t="shared" si="82"/>
        <v>0</v>
      </c>
      <c r="BM70" s="169">
        <f t="shared" si="83"/>
        <v>0</v>
      </c>
      <c r="BN70" s="177">
        <f t="shared" si="71"/>
        <v>0</v>
      </c>
      <c r="BO70" s="176">
        <f t="shared" si="84"/>
        <v>0</v>
      </c>
      <c r="BP70" s="169">
        <f t="shared" si="85"/>
        <v>0</v>
      </c>
      <c r="BQ70" s="177">
        <f t="shared" si="72"/>
        <v>0</v>
      </c>
      <c r="BR70" s="182">
        <f t="shared" si="73"/>
        <v>0</v>
      </c>
      <c r="CO70" s="8" t="str">
        <f t="shared" si="61"/>
        <v>OUI</v>
      </c>
    </row>
    <row r="71" spans="1:94" s="8" customFormat="1" ht="13.5" customHeight="1" x14ac:dyDescent="0.2">
      <c r="A71" s="36">
        <f t="shared" si="74"/>
        <v>45566</v>
      </c>
      <c r="B71" s="1">
        <f>IF($B$70="","",IF(EDATE($B$70,1)&lt;=$D$17,EDATE($B$70,1),""))</f>
        <v>45566</v>
      </c>
      <c r="C71" s="88" t="str">
        <f>+IF(B71="","","Octobre"&amp;" "&amp;YEAR(B71))</f>
        <v>Octobre 2024</v>
      </c>
      <c r="D71" s="198">
        <v>2.5</v>
      </c>
      <c r="E71" s="199"/>
      <c r="F71" s="112">
        <f t="shared" si="62"/>
        <v>0</v>
      </c>
      <c r="G71" s="112">
        <f t="shared" si="75"/>
        <v>693.33</v>
      </c>
      <c r="H71" s="200"/>
      <c r="J71" s="200">
        <v>693.33</v>
      </c>
      <c r="K71" s="201"/>
      <c r="M71" s="88" t="str">
        <f t="shared" si="63"/>
        <v>Octobre 2024</v>
      </c>
      <c r="N71" s="198"/>
      <c r="P71" s="200"/>
      <c r="AY71" s="167">
        <f t="shared" si="64"/>
        <v>0</v>
      </c>
      <c r="AZ71" s="169">
        <f t="shared" si="65"/>
        <v>0</v>
      </c>
      <c r="BA71" s="169">
        <f t="shared" si="76"/>
        <v>24</v>
      </c>
      <c r="BB71" s="171">
        <f t="shared" si="66"/>
        <v>0</v>
      </c>
      <c r="BC71" s="176">
        <f t="shared" si="67"/>
        <v>0</v>
      </c>
      <c r="BD71" s="169">
        <f t="shared" si="77"/>
        <v>23</v>
      </c>
      <c r="BE71" s="177">
        <f t="shared" si="68"/>
        <v>0</v>
      </c>
      <c r="BF71" s="176">
        <f t="shared" si="78"/>
        <v>0</v>
      </c>
      <c r="BG71" s="169">
        <f t="shared" si="79"/>
        <v>0</v>
      </c>
      <c r="BH71" s="177">
        <f t="shared" si="69"/>
        <v>0</v>
      </c>
      <c r="BI71" s="176">
        <f t="shared" si="80"/>
        <v>0</v>
      </c>
      <c r="BJ71" s="169">
        <f t="shared" si="81"/>
        <v>0</v>
      </c>
      <c r="BK71" s="177">
        <f t="shared" si="70"/>
        <v>0</v>
      </c>
      <c r="BL71" s="176">
        <f t="shared" si="82"/>
        <v>0</v>
      </c>
      <c r="BM71" s="169">
        <f t="shared" si="83"/>
        <v>0</v>
      </c>
      <c r="BN71" s="177">
        <f t="shared" si="71"/>
        <v>0</v>
      </c>
      <c r="BO71" s="176">
        <f t="shared" si="84"/>
        <v>0</v>
      </c>
      <c r="BP71" s="169">
        <f t="shared" si="85"/>
        <v>0</v>
      </c>
      <c r="BQ71" s="177">
        <f t="shared" si="72"/>
        <v>0</v>
      </c>
      <c r="BR71" s="182">
        <f t="shared" si="73"/>
        <v>0</v>
      </c>
      <c r="CO71" s="8" t="str">
        <f t="shared" si="61"/>
        <v>OUI</v>
      </c>
    </row>
    <row r="72" spans="1:94" s="8" customFormat="1" ht="13.5" customHeight="1" x14ac:dyDescent="0.2">
      <c r="A72" s="36">
        <f t="shared" si="74"/>
        <v>45597</v>
      </c>
      <c r="B72" s="1">
        <f>IF($B$71="","",IF(EDATE($B$71,1)&lt;=$D$17,EDATE($B$71,1),""))</f>
        <v>45597</v>
      </c>
      <c r="C72" s="88" t="str">
        <f>+IF(B72="","","Novembre"&amp;" "&amp;YEAR(B72))</f>
        <v>Novembre 2024</v>
      </c>
      <c r="D72" s="198">
        <v>2.5</v>
      </c>
      <c r="E72" s="199"/>
      <c r="F72" s="112">
        <f t="shared" si="62"/>
        <v>0</v>
      </c>
      <c r="G72" s="112">
        <f t="shared" si="75"/>
        <v>693.33</v>
      </c>
      <c r="H72" s="200"/>
      <c r="J72" s="200">
        <v>693.33</v>
      </c>
      <c r="K72" s="201"/>
      <c r="M72" s="88" t="str">
        <f t="shared" si="63"/>
        <v>Novembre 2024</v>
      </c>
      <c r="N72" s="198"/>
      <c r="P72" s="200"/>
      <c r="AY72" s="167">
        <f t="shared" si="64"/>
        <v>0</v>
      </c>
      <c r="AZ72" s="169">
        <f t="shared" si="65"/>
        <v>0</v>
      </c>
      <c r="BA72" s="169">
        <f t="shared" si="76"/>
        <v>24</v>
      </c>
      <c r="BB72" s="171">
        <f t="shared" si="66"/>
        <v>0</v>
      </c>
      <c r="BC72" s="176">
        <f t="shared" si="67"/>
        <v>0</v>
      </c>
      <c r="BD72" s="169">
        <f t="shared" si="77"/>
        <v>23</v>
      </c>
      <c r="BE72" s="177">
        <f t="shared" si="68"/>
        <v>0</v>
      </c>
      <c r="BF72" s="176">
        <f t="shared" si="78"/>
        <v>0</v>
      </c>
      <c r="BG72" s="169">
        <f t="shared" si="79"/>
        <v>0</v>
      </c>
      <c r="BH72" s="177">
        <f t="shared" si="69"/>
        <v>0</v>
      </c>
      <c r="BI72" s="176">
        <f t="shared" si="80"/>
        <v>0</v>
      </c>
      <c r="BJ72" s="169">
        <f t="shared" si="81"/>
        <v>0</v>
      </c>
      <c r="BK72" s="177">
        <f t="shared" si="70"/>
        <v>0</v>
      </c>
      <c r="BL72" s="176">
        <f t="shared" si="82"/>
        <v>0</v>
      </c>
      <c r="BM72" s="169">
        <f t="shared" si="83"/>
        <v>0</v>
      </c>
      <c r="BN72" s="177">
        <f t="shared" si="71"/>
        <v>0</v>
      </c>
      <c r="BO72" s="176">
        <f t="shared" si="84"/>
        <v>0</v>
      </c>
      <c r="BP72" s="169">
        <f t="shared" si="85"/>
        <v>0</v>
      </c>
      <c r="BQ72" s="177">
        <f t="shared" si="72"/>
        <v>0</v>
      </c>
      <c r="BR72" s="182">
        <f t="shared" si="73"/>
        <v>0</v>
      </c>
      <c r="CO72" s="8" t="str">
        <f t="shared" si="61"/>
        <v>OUI</v>
      </c>
    </row>
    <row r="73" spans="1:94" s="8" customFormat="1" ht="13.5" customHeight="1" x14ac:dyDescent="0.2">
      <c r="A73" s="36">
        <f t="shared" si="74"/>
        <v>45627</v>
      </c>
      <c r="B73" s="1">
        <f>IF($B$72="","",IF(EDATE($B$72,1)&lt;=$D$17,EDATE($B$72,1),""))</f>
        <v>45627</v>
      </c>
      <c r="C73" s="88" t="str">
        <f>+IF(B73="","","Décembre"&amp;" "&amp;YEAR(B73))</f>
        <v>Décembre 2024</v>
      </c>
      <c r="D73" s="198">
        <v>2.5</v>
      </c>
      <c r="E73" s="199">
        <v>5</v>
      </c>
      <c r="F73" s="112">
        <f t="shared" si="62"/>
        <v>26.666538461538462</v>
      </c>
      <c r="G73" s="112">
        <f t="shared" si="75"/>
        <v>693.33</v>
      </c>
      <c r="H73" s="200"/>
      <c r="J73" s="200">
        <v>693.33</v>
      </c>
      <c r="K73" s="201"/>
      <c r="M73" s="88" t="str">
        <f t="shared" si="63"/>
        <v>Décembre 2024</v>
      </c>
      <c r="N73" s="198"/>
      <c r="P73" s="200"/>
      <c r="AY73" s="167">
        <f t="shared" si="64"/>
        <v>26.666538461538462</v>
      </c>
      <c r="AZ73" s="169">
        <f t="shared" si="65"/>
        <v>0</v>
      </c>
      <c r="BA73" s="169">
        <f t="shared" si="76"/>
        <v>24</v>
      </c>
      <c r="BB73" s="171">
        <f t="shared" si="66"/>
        <v>0</v>
      </c>
      <c r="BC73" s="176">
        <f>IF($E73&gt;=0.1,MIN($E73-$AZ73,$D$63-$BD72),0)</f>
        <v>5</v>
      </c>
      <c r="BD73" s="169">
        <f t="shared" si="77"/>
        <v>28</v>
      </c>
      <c r="BE73" s="177">
        <f t="shared" si="68"/>
        <v>133.3326923076923</v>
      </c>
      <c r="BF73" s="176">
        <f t="shared" si="78"/>
        <v>0</v>
      </c>
      <c r="BG73" s="169">
        <f t="shared" si="79"/>
        <v>0</v>
      </c>
      <c r="BH73" s="177">
        <f t="shared" si="69"/>
        <v>0</v>
      </c>
      <c r="BI73" s="176">
        <f t="shared" si="80"/>
        <v>0</v>
      </c>
      <c r="BJ73" s="169">
        <f t="shared" si="81"/>
        <v>0</v>
      </c>
      <c r="BK73" s="177">
        <f t="shared" si="70"/>
        <v>0</v>
      </c>
      <c r="BL73" s="176">
        <f t="shared" si="82"/>
        <v>0</v>
      </c>
      <c r="BM73" s="169">
        <f t="shared" si="83"/>
        <v>0</v>
      </c>
      <c r="BN73" s="177">
        <f t="shared" si="71"/>
        <v>0</v>
      </c>
      <c r="BO73" s="176">
        <f t="shared" si="84"/>
        <v>0</v>
      </c>
      <c r="BP73" s="169">
        <f t="shared" si="85"/>
        <v>0</v>
      </c>
      <c r="BQ73" s="177">
        <f t="shared" si="72"/>
        <v>0</v>
      </c>
      <c r="BR73" s="182">
        <f t="shared" si="73"/>
        <v>5</v>
      </c>
      <c r="CO73" s="8" t="str">
        <f t="shared" si="61"/>
        <v>OUI</v>
      </c>
    </row>
    <row r="74" spans="1:94" s="8" customFormat="1" ht="13.5" customHeight="1" x14ac:dyDescent="0.2">
      <c r="A74" s="36">
        <f t="shared" si="74"/>
        <v>45658</v>
      </c>
      <c r="B74" s="1">
        <f>IF($B$73="","",IF(EDATE($B$73,1)&lt;=$D$17,EDATE($B$73,1),""))</f>
        <v>45658</v>
      </c>
      <c r="C74" s="88" t="str">
        <f>+IF(B74="","","Janvier"&amp;" "&amp;YEAR(B74))</f>
        <v>Janvier 2025</v>
      </c>
      <c r="D74" s="198">
        <v>2.5</v>
      </c>
      <c r="E74" s="199"/>
      <c r="F74" s="112">
        <f t="shared" si="62"/>
        <v>0</v>
      </c>
      <c r="G74" s="112">
        <f t="shared" si="75"/>
        <v>750</v>
      </c>
      <c r="H74" s="200">
        <v>750</v>
      </c>
      <c r="J74" s="200">
        <v>750</v>
      </c>
      <c r="K74" s="201"/>
      <c r="M74" s="88" t="str">
        <f t="shared" si="63"/>
        <v>Janvier 2025</v>
      </c>
      <c r="N74" s="198"/>
      <c r="P74" s="200"/>
      <c r="AY74" s="167">
        <f t="shared" si="64"/>
        <v>0</v>
      </c>
      <c r="AZ74" s="169">
        <f t="shared" si="65"/>
        <v>0</v>
      </c>
      <c r="BA74" s="169">
        <f t="shared" si="76"/>
        <v>24</v>
      </c>
      <c r="BB74" s="171">
        <f t="shared" si="66"/>
        <v>0</v>
      </c>
      <c r="BC74" s="176">
        <f t="shared" ref="BC74:BC78" si="86">IF($E74&gt;=0.1,MIN($E74-$AZ74,$D$63-$BD73),0)</f>
        <v>0</v>
      </c>
      <c r="BD74" s="169">
        <f t="shared" si="77"/>
        <v>28</v>
      </c>
      <c r="BE74" s="177">
        <f t="shared" si="68"/>
        <v>0</v>
      </c>
      <c r="BF74" s="176">
        <f t="shared" si="78"/>
        <v>0</v>
      </c>
      <c r="BG74" s="169">
        <f t="shared" si="79"/>
        <v>0</v>
      </c>
      <c r="BH74" s="177">
        <f t="shared" si="69"/>
        <v>0</v>
      </c>
      <c r="BI74" s="176">
        <f t="shared" si="80"/>
        <v>0</v>
      </c>
      <c r="BJ74" s="169">
        <f t="shared" si="81"/>
        <v>0</v>
      </c>
      <c r="BK74" s="177">
        <f t="shared" si="70"/>
        <v>0</v>
      </c>
      <c r="BL74" s="176">
        <f t="shared" si="82"/>
        <v>0</v>
      </c>
      <c r="BM74" s="169">
        <f t="shared" si="83"/>
        <v>0</v>
      </c>
      <c r="BN74" s="177">
        <f t="shared" si="71"/>
        <v>0</v>
      </c>
      <c r="BO74" s="176">
        <f t="shared" si="84"/>
        <v>0</v>
      </c>
      <c r="BP74" s="169">
        <f t="shared" si="85"/>
        <v>0</v>
      </c>
      <c r="BQ74" s="177">
        <f t="shared" si="72"/>
        <v>0</v>
      </c>
      <c r="BR74" s="182">
        <f t="shared" si="73"/>
        <v>0</v>
      </c>
      <c r="CO74" s="8" t="str">
        <f t="shared" si="61"/>
        <v>OUI</v>
      </c>
    </row>
    <row r="75" spans="1:94" s="8" customFormat="1" ht="13.5" customHeight="1" x14ac:dyDescent="0.2">
      <c r="A75" s="36">
        <f t="shared" si="74"/>
        <v>45689</v>
      </c>
      <c r="B75" s="1">
        <f>IF($B$74="","",IF(EDATE($B$74,1)&lt;=$D$17,EDATE($B$74,1),""))</f>
        <v>45689</v>
      </c>
      <c r="C75" s="88" t="str">
        <f>+IF(B75="","","Février"&amp;" "&amp;YEAR(B75))</f>
        <v>Février 2025</v>
      </c>
      <c r="D75" s="198">
        <v>2.5</v>
      </c>
      <c r="E75" s="199"/>
      <c r="F75" s="112">
        <f t="shared" si="62"/>
        <v>0</v>
      </c>
      <c r="G75" s="112">
        <f t="shared" si="75"/>
        <v>750</v>
      </c>
      <c r="H75" s="200"/>
      <c r="J75" s="200">
        <v>750</v>
      </c>
      <c r="K75" s="201"/>
      <c r="M75" s="88" t="str">
        <f t="shared" si="63"/>
        <v>Février 2025</v>
      </c>
      <c r="N75" s="198"/>
      <c r="P75" s="200"/>
      <c r="AY75" s="167">
        <f t="shared" si="64"/>
        <v>0</v>
      </c>
      <c r="AZ75" s="169">
        <f t="shared" si="65"/>
        <v>0</v>
      </c>
      <c r="BA75" s="169">
        <f t="shared" si="76"/>
        <v>24</v>
      </c>
      <c r="BB75" s="171">
        <f t="shared" si="66"/>
        <v>0</v>
      </c>
      <c r="BC75" s="176">
        <f t="shared" si="86"/>
        <v>0</v>
      </c>
      <c r="BD75" s="169">
        <f t="shared" si="77"/>
        <v>28</v>
      </c>
      <c r="BE75" s="177">
        <f t="shared" si="68"/>
        <v>0</v>
      </c>
      <c r="BF75" s="176">
        <f t="shared" si="78"/>
        <v>0</v>
      </c>
      <c r="BG75" s="169">
        <f t="shared" si="79"/>
        <v>0</v>
      </c>
      <c r="BH75" s="177">
        <f t="shared" si="69"/>
        <v>0</v>
      </c>
      <c r="BI75" s="176">
        <f t="shared" si="80"/>
        <v>0</v>
      </c>
      <c r="BJ75" s="169">
        <f t="shared" si="81"/>
        <v>0</v>
      </c>
      <c r="BK75" s="177">
        <f t="shared" si="70"/>
        <v>0</v>
      </c>
      <c r="BL75" s="176">
        <f t="shared" si="82"/>
        <v>0</v>
      </c>
      <c r="BM75" s="169">
        <f t="shared" si="83"/>
        <v>0</v>
      </c>
      <c r="BN75" s="177">
        <f t="shared" si="71"/>
        <v>0</v>
      </c>
      <c r="BO75" s="176">
        <f t="shared" si="84"/>
        <v>0</v>
      </c>
      <c r="BP75" s="169">
        <f t="shared" si="85"/>
        <v>0</v>
      </c>
      <c r="BQ75" s="177">
        <f t="shared" si="72"/>
        <v>0</v>
      </c>
      <c r="BR75" s="182">
        <f t="shared" si="73"/>
        <v>0</v>
      </c>
      <c r="CO75" s="8" t="str">
        <f t="shared" si="61"/>
        <v>OUI</v>
      </c>
    </row>
    <row r="76" spans="1:94" s="8" customFormat="1" ht="13.5" customHeight="1" x14ac:dyDescent="0.2">
      <c r="A76" s="36">
        <f t="shared" si="74"/>
        <v>45717</v>
      </c>
      <c r="B76" s="1">
        <f>IF($B$75="","",IF(EDATE($B$75,1)&lt;=$D$17,EDATE($B$75,1),""))</f>
        <v>45717</v>
      </c>
      <c r="C76" s="88" t="str">
        <f>+IF(B76="","","Mars"&amp;" "&amp;YEAR(B76))</f>
        <v>Mars 2025</v>
      </c>
      <c r="D76" s="198">
        <v>2.5</v>
      </c>
      <c r="E76" s="199">
        <v>2</v>
      </c>
      <c r="F76" s="112">
        <f t="shared" si="62"/>
        <v>28.846153846153847</v>
      </c>
      <c r="G76" s="112">
        <f t="shared" si="75"/>
        <v>750</v>
      </c>
      <c r="H76" s="200"/>
      <c r="J76" s="200">
        <v>750</v>
      </c>
      <c r="K76" s="201"/>
      <c r="M76" s="88" t="str">
        <f t="shared" si="63"/>
        <v>Mars 2025</v>
      </c>
      <c r="N76" s="198"/>
      <c r="P76" s="200"/>
      <c r="AY76" s="167">
        <f t="shared" si="64"/>
        <v>28.846153846153847</v>
      </c>
      <c r="AZ76" s="169">
        <f t="shared" si="65"/>
        <v>0</v>
      </c>
      <c r="BA76" s="169">
        <f t="shared" si="76"/>
        <v>24</v>
      </c>
      <c r="BB76" s="171">
        <f t="shared" si="66"/>
        <v>0</v>
      </c>
      <c r="BC76" s="176">
        <f t="shared" si="86"/>
        <v>2</v>
      </c>
      <c r="BD76" s="169">
        <f t="shared" si="77"/>
        <v>30</v>
      </c>
      <c r="BE76" s="177">
        <f t="shared" si="68"/>
        <v>57.692307692307693</v>
      </c>
      <c r="BF76" s="176">
        <f t="shared" si="78"/>
        <v>0</v>
      </c>
      <c r="BG76" s="169">
        <f t="shared" si="79"/>
        <v>0</v>
      </c>
      <c r="BH76" s="177">
        <f t="shared" si="69"/>
        <v>0</v>
      </c>
      <c r="BI76" s="176">
        <f t="shared" si="80"/>
        <v>0</v>
      </c>
      <c r="BJ76" s="169">
        <f t="shared" si="81"/>
        <v>0</v>
      </c>
      <c r="BK76" s="177">
        <f t="shared" si="70"/>
        <v>0</v>
      </c>
      <c r="BL76" s="176">
        <f t="shared" si="82"/>
        <v>0</v>
      </c>
      <c r="BM76" s="169">
        <f t="shared" si="83"/>
        <v>0</v>
      </c>
      <c r="BN76" s="177">
        <f t="shared" si="71"/>
        <v>0</v>
      </c>
      <c r="BO76" s="176">
        <f t="shared" si="84"/>
        <v>0</v>
      </c>
      <c r="BP76" s="169">
        <f t="shared" si="85"/>
        <v>0</v>
      </c>
      <c r="BQ76" s="177">
        <f t="shared" si="72"/>
        <v>0</v>
      </c>
      <c r="BR76" s="182">
        <f t="shared" si="73"/>
        <v>2</v>
      </c>
      <c r="CO76" s="8" t="str">
        <f t="shared" si="61"/>
        <v>OUI</v>
      </c>
    </row>
    <row r="77" spans="1:94" s="8" customFormat="1" ht="13.5" customHeight="1" x14ac:dyDescent="0.2">
      <c r="A77" s="36">
        <f t="shared" si="74"/>
        <v>45748</v>
      </c>
      <c r="B77" s="1">
        <f>IF($B$76="","",IF(EDATE($B$76,1)&lt;=$D$17,EDATE($B$76,1),""))</f>
        <v>45748</v>
      </c>
      <c r="C77" s="88" t="str">
        <f>+IF(B77="","","Avril"&amp;" "&amp;YEAR(B77))</f>
        <v>Avril 2025</v>
      </c>
      <c r="D77" s="198">
        <v>2.5</v>
      </c>
      <c r="E77" s="199"/>
      <c r="F77" s="112">
        <f t="shared" si="62"/>
        <v>0</v>
      </c>
      <c r="G77" s="112">
        <f t="shared" si="75"/>
        <v>750</v>
      </c>
      <c r="H77" s="200"/>
      <c r="J77" s="200">
        <v>750</v>
      </c>
      <c r="K77" s="201"/>
      <c r="M77" s="88" t="str">
        <f t="shared" si="63"/>
        <v>Avril 2025</v>
      </c>
      <c r="N77" s="198"/>
      <c r="P77" s="200"/>
      <c r="AY77" s="167">
        <f t="shared" si="64"/>
        <v>0</v>
      </c>
      <c r="AZ77" s="169">
        <f t="shared" si="65"/>
        <v>0</v>
      </c>
      <c r="BA77" s="169">
        <f t="shared" si="76"/>
        <v>24</v>
      </c>
      <c r="BB77" s="171">
        <f t="shared" si="66"/>
        <v>0</v>
      </c>
      <c r="BC77" s="176">
        <f t="shared" si="86"/>
        <v>0</v>
      </c>
      <c r="BD77" s="169">
        <f t="shared" si="77"/>
        <v>30</v>
      </c>
      <c r="BE77" s="177">
        <f t="shared" si="68"/>
        <v>0</v>
      </c>
      <c r="BF77" s="176">
        <f t="shared" si="78"/>
        <v>0</v>
      </c>
      <c r="BG77" s="169">
        <f t="shared" si="79"/>
        <v>0</v>
      </c>
      <c r="BH77" s="177">
        <f t="shared" si="69"/>
        <v>0</v>
      </c>
      <c r="BI77" s="176">
        <f t="shared" si="80"/>
        <v>0</v>
      </c>
      <c r="BJ77" s="169">
        <f t="shared" si="81"/>
        <v>0</v>
      </c>
      <c r="BK77" s="177">
        <f t="shared" si="70"/>
        <v>0</v>
      </c>
      <c r="BL77" s="176">
        <f t="shared" si="82"/>
        <v>0</v>
      </c>
      <c r="BM77" s="169">
        <f t="shared" si="83"/>
        <v>0</v>
      </c>
      <c r="BN77" s="177">
        <f t="shared" si="71"/>
        <v>0</v>
      </c>
      <c r="BO77" s="176">
        <f t="shared" si="84"/>
        <v>0</v>
      </c>
      <c r="BP77" s="169">
        <f t="shared" si="85"/>
        <v>0</v>
      </c>
      <c r="BQ77" s="177">
        <f t="shared" si="72"/>
        <v>0</v>
      </c>
      <c r="BR77" s="182">
        <f t="shared" si="73"/>
        <v>0</v>
      </c>
      <c r="CO77" s="8" t="str">
        <f t="shared" si="61"/>
        <v>OUI</v>
      </c>
    </row>
    <row r="78" spans="1:94" s="8" customFormat="1" ht="13.5" customHeight="1" x14ac:dyDescent="0.2">
      <c r="A78" s="36">
        <f t="shared" si="74"/>
        <v>45778</v>
      </c>
      <c r="B78" s="1">
        <f>IF($B$77="","",IF(EDATE($B$77,1)&lt;=$D$17,EDATE($B$77,1),""))</f>
        <v>45778</v>
      </c>
      <c r="C78" s="88" t="str">
        <f>+IF(B78="","","Mai"&amp;" "&amp;YEAR(B78))</f>
        <v>Mai 2025</v>
      </c>
      <c r="D78" s="198">
        <v>2.5</v>
      </c>
      <c r="E78" s="199"/>
      <c r="F78" s="112">
        <f t="shared" si="62"/>
        <v>0</v>
      </c>
      <c r="G78" s="112">
        <f t="shared" si="75"/>
        <v>750</v>
      </c>
      <c r="H78" s="200"/>
      <c r="J78" s="200">
        <v>750</v>
      </c>
      <c r="K78" s="201"/>
      <c r="M78" s="88" t="str">
        <f t="shared" si="63"/>
        <v>Mai 2025</v>
      </c>
      <c r="N78" s="198"/>
      <c r="P78" s="200"/>
      <c r="AY78" s="168">
        <f t="shared" si="64"/>
        <v>0</v>
      </c>
      <c r="AZ78" s="170">
        <f t="shared" si="65"/>
        <v>0</v>
      </c>
      <c r="BA78" s="170">
        <f t="shared" si="76"/>
        <v>24</v>
      </c>
      <c r="BB78" s="172">
        <f t="shared" si="66"/>
        <v>0</v>
      </c>
      <c r="BC78" s="178">
        <f t="shared" si="86"/>
        <v>0</v>
      </c>
      <c r="BD78" s="170">
        <f t="shared" si="77"/>
        <v>30</v>
      </c>
      <c r="BE78" s="179">
        <f t="shared" si="68"/>
        <v>0</v>
      </c>
      <c r="BF78" s="178">
        <f t="shared" si="78"/>
        <v>0</v>
      </c>
      <c r="BG78" s="170">
        <f t="shared" si="79"/>
        <v>0</v>
      </c>
      <c r="BH78" s="179">
        <f t="shared" si="69"/>
        <v>0</v>
      </c>
      <c r="BI78" s="178">
        <f t="shared" si="80"/>
        <v>0</v>
      </c>
      <c r="BJ78" s="170">
        <f t="shared" si="81"/>
        <v>0</v>
      </c>
      <c r="BK78" s="179">
        <f t="shared" si="70"/>
        <v>0</v>
      </c>
      <c r="BL78" s="178">
        <f t="shared" si="82"/>
        <v>0</v>
      </c>
      <c r="BM78" s="170">
        <f t="shared" si="83"/>
        <v>0</v>
      </c>
      <c r="BN78" s="179">
        <f t="shared" si="71"/>
        <v>0</v>
      </c>
      <c r="BO78" s="178">
        <f t="shared" si="84"/>
        <v>0</v>
      </c>
      <c r="BP78" s="170">
        <f t="shared" si="85"/>
        <v>0</v>
      </c>
      <c r="BQ78" s="179">
        <f t="shared" si="72"/>
        <v>0</v>
      </c>
      <c r="BR78" s="183">
        <f t="shared" si="73"/>
        <v>0</v>
      </c>
      <c r="CO78" s="8" t="str">
        <f t="shared" si="61"/>
        <v>OUI</v>
      </c>
      <c r="CP78" s="8" t="s">
        <v>81</v>
      </c>
    </row>
    <row r="79" spans="1:94" s="8" customFormat="1" ht="12.75" x14ac:dyDescent="0.2">
      <c r="A79" s="4"/>
      <c r="B79" s="6"/>
      <c r="C79" s="38" t="s">
        <v>82</v>
      </c>
      <c r="D79" s="39">
        <f>+N81</f>
        <v>0</v>
      </c>
      <c r="F79" s="125"/>
      <c r="G79" s="125"/>
      <c r="J79" s="40">
        <f>+P81</f>
        <v>0</v>
      </c>
      <c r="BR79" s="166"/>
    </row>
    <row r="80" spans="1:94" s="8" customFormat="1" ht="13.5" customHeight="1" x14ac:dyDescent="0.2">
      <c r="A80" s="36"/>
      <c r="B80" s="1"/>
      <c r="C80" s="41" t="s">
        <v>83</v>
      </c>
      <c r="D80" s="202"/>
      <c r="E80" s="43"/>
      <c r="F80" s="125"/>
      <c r="G80" s="125"/>
      <c r="J80" s="116"/>
      <c r="K80" s="134"/>
      <c r="BB80" s="173">
        <f>SUM(BB67:BB78)</f>
        <v>0</v>
      </c>
      <c r="BE80" s="173">
        <f>SUM(BE67:BE78)</f>
        <v>804.35538461538465</v>
      </c>
      <c r="BH80" s="173">
        <f>SUM(BH67:BH78)</f>
        <v>0</v>
      </c>
      <c r="BK80" s="173">
        <f>SUM(BK67:BK78)</f>
        <v>0</v>
      </c>
      <c r="BN80" s="173">
        <f>SUM(BN67:BN78)</f>
        <v>0</v>
      </c>
      <c r="BQ80" s="173">
        <f>SUM(BQ67:BQ78)</f>
        <v>0</v>
      </c>
      <c r="BR80" s="184">
        <f>SUM(BR67:BR79)</f>
        <v>30</v>
      </c>
      <c r="CP80" s="8" t="str">
        <f>+IF(C85="","NON","OUI")</f>
        <v>OUI</v>
      </c>
    </row>
    <row r="81" spans="1:94" s="8" customFormat="1" ht="40.5" customHeight="1" x14ac:dyDescent="0.2">
      <c r="A81" s="36"/>
      <c r="B81" s="1"/>
      <c r="C81" s="157" t="s">
        <v>84</v>
      </c>
      <c r="D81" s="155">
        <f>MIN(ROUNDUP(SUM(D67:D80),0),30)</f>
        <v>30</v>
      </c>
      <c r="E81" s="165">
        <f>SUM(E67:E78)</f>
        <v>30</v>
      </c>
      <c r="F81" s="204" t="str">
        <f>+IF($E$139&gt;$D$139,"TROP DE JOURS pris par rapport aux jours acquis ou aux jours en cours d'acquisition","")</f>
        <v/>
      </c>
      <c r="G81" s="205"/>
      <c r="H81" s="205"/>
      <c r="J81" s="135">
        <f>SUM(J67:J80)</f>
        <v>8603.3100000000013</v>
      </c>
      <c r="K81" s="118" t="str">
        <f>"Valeur d'un jour ouvrable de CP en 10% = "&amp;ROUND(J81,2)&amp;" € / "&amp;ROUNDUP(SUM(D67:D78),0)&amp;" jrs X 0,10 = "&amp;ROUND(J81/(ROUNDUP(SUM(D67:D78),0))*0.1,2)&amp;" €"</f>
        <v>Valeur d'un jour ouvrable de CP en 10% = 8603,31 € / 30 jrs X 0,10 = 28,68 €</v>
      </c>
      <c r="N81" s="39">
        <f>SUM(N67:N78)</f>
        <v>0</v>
      </c>
      <c r="P81" s="48">
        <f>SUM(P67:P78)</f>
        <v>0</v>
      </c>
    </row>
    <row r="82" spans="1:94" s="8" customFormat="1" ht="31.5" hidden="1" customHeight="1" x14ac:dyDescent="0.2">
      <c r="A82" s="36"/>
      <c r="B82" s="1"/>
      <c r="C82" s="156" t="s">
        <v>85</v>
      </c>
      <c r="D82" s="153">
        <f>+D64+D81</f>
        <v>84</v>
      </c>
      <c r="E82" s="154">
        <f>+E81+E64</f>
        <v>54</v>
      </c>
      <c r="J82" s="52">
        <f>+J64+J81</f>
        <v>22896.574615384619</v>
      </c>
      <c r="K82" s="114"/>
      <c r="L82" s="93"/>
    </row>
    <row r="83" spans="1:94" s="8" customFormat="1" ht="57.75" customHeight="1" x14ac:dyDescent="0.2">
      <c r="A83" s="36"/>
      <c r="B83" s="1"/>
      <c r="C83" s="58"/>
      <c r="D83" s="59"/>
      <c r="E83" s="60"/>
      <c r="J83" s="61"/>
      <c r="K83" s="114"/>
      <c r="AZ83" s="206" t="str">
        <f>+AZ65</f>
        <v>Période : 
Septembre 2022 à Mai 2023</v>
      </c>
      <c r="BA83" s="206"/>
      <c r="BB83" s="206"/>
      <c r="BC83" s="206" t="str">
        <f>+BC65</f>
        <v>Période : 
Juin 2023 à Mai 2024</v>
      </c>
      <c r="BD83" s="206"/>
      <c r="BE83" s="206"/>
      <c r="BF83" s="206" t="str">
        <f t="shared" ref="BF83" si="87">+BF65</f>
        <v>Période de : 
Juin 2024 à Mai 2025</v>
      </c>
      <c r="BG83" s="206"/>
      <c r="BH83" s="206"/>
      <c r="BI83" s="206" t="str">
        <f t="shared" ref="BI83" si="88">+BI65</f>
        <v>Période de : 
Juin 2025 à Mai 2026</v>
      </c>
      <c r="BJ83" s="206"/>
      <c r="BK83" s="206"/>
      <c r="BL83" s="206" t="str">
        <f t="shared" ref="BL83" si="89">+BL65</f>
        <v>Période de : 
Juin 2026 à Mai 2027</v>
      </c>
      <c r="BM83" s="206"/>
      <c r="BN83" s="206"/>
      <c r="BO83" s="206" t="str">
        <f t="shared" ref="BO83" si="90">+BO65</f>
        <v>Période de : 
Juin 2027 à Mai 2028</v>
      </c>
      <c r="BP83" s="206"/>
      <c r="BQ83" s="206"/>
    </row>
    <row r="84" spans="1:94" s="8" customFormat="1" ht="63.75" x14ac:dyDescent="0.2">
      <c r="A84" s="4"/>
      <c r="B84" s="6"/>
      <c r="C84" s="27" t="str">
        <f>"Période de : "&amp;CHAR(10)&amp;PROPER(+TEXT(B85,"mmmm"))&amp;" "&amp;YEAR(B85)&amp;" à "&amp;IF(D17&gt;=B96,C96,PROPER(+TEXT(D17,"mmmm"))&amp;" "&amp;YEAR(D17))</f>
        <v>Période de : 
Juin 2025 à Mai 2026</v>
      </c>
      <c r="D84" s="27" t="str">
        <f>+D66</f>
        <v>Jours acquis dans l'année</v>
      </c>
      <c r="E84" s="28" t="s">
        <v>87</v>
      </c>
      <c r="F84" s="28" t="s">
        <v>103</v>
      </c>
      <c r="G84" s="27" t="s">
        <v>94</v>
      </c>
      <c r="H84" s="27" t="s">
        <v>90</v>
      </c>
      <c r="I84" s="105"/>
      <c r="J84" s="27" t="str">
        <f>+J66</f>
        <v>Salaires nets de l'année (hors indemnités)</v>
      </c>
      <c r="K84" s="27" t="s">
        <v>74</v>
      </c>
      <c r="M84" s="98" t="str">
        <f>+M30</f>
        <v>Mois</v>
      </c>
      <c r="N84" s="98" t="str">
        <f>+N30</f>
        <v>Jrs acquis en arrêt de maladie (2 jrs par mois)</v>
      </c>
      <c r="P84" s="98" t="str">
        <f>+P30</f>
        <v>80% des Salaires nets correspondants à l'arrêt de maladie</v>
      </c>
      <c r="AY84" s="27" t="s">
        <v>101</v>
      </c>
      <c r="AZ84" s="27" t="s">
        <v>87</v>
      </c>
      <c r="BA84" s="27" t="s">
        <v>104</v>
      </c>
      <c r="BB84" s="27" t="s">
        <v>102</v>
      </c>
      <c r="BC84" s="164" t="s">
        <v>87</v>
      </c>
      <c r="BD84" s="27" t="s">
        <v>104</v>
      </c>
      <c r="BE84" s="27" t="s">
        <v>102</v>
      </c>
      <c r="BF84" s="27" t="s">
        <v>87</v>
      </c>
      <c r="BG84" s="27" t="s">
        <v>104</v>
      </c>
      <c r="BH84" s="27" t="s">
        <v>102</v>
      </c>
      <c r="BI84" s="27" t="s">
        <v>87</v>
      </c>
      <c r="BJ84" s="27" t="s">
        <v>104</v>
      </c>
      <c r="BK84" s="27" t="s">
        <v>102</v>
      </c>
      <c r="BL84" s="27" t="s">
        <v>87</v>
      </c>
      <c r="BM84" s="27" t="s">
        <v>104</v>
      </c>
      <c r="BN84" s="27" t="s">
        <v>102</v>
      </c>
      <c r="BO84" s="27" t="s">
        <v>87</v>
      </c>
      <c r="BP84" s="27" t="s">
        <v>104</v>
      </c>
      <c r="BQ84" s="27" t="s">
        <v>102</v>
      </c>
      <c r="BR84" s="27" t="s">
        <v>105</v>
      </c>
      <c r="CO84" s="108" t="s">
        <v>77</v>
      </c>
    </row>
    <row r="85" spans="1:94" s="8" customFormat="1" ht="13.5" customHeight="1" x14ac:dyDescent="0.2">
      <c r="A85" s="36">
        <f>EDATE(A78,1)</f>
        <v>45809</v>
      </c>
      <c r="B85" s="1">
        <f>IF($B$78="","",IF(EDATE($B$78,1)&lt;=$D$17,EDATE($B$78,1),""))</f>
        <v>45809</v>
      </c>
      <c r="C85" s="88" t="str">
        <f>+IF(B85="","","Juin"&amp;" "&amp;YEAR(B85))</f>
        <v>Juin 2025</v>
      </c>
      <c r="D85" s="198"/>
      <c r="E85" s="199"/>
      <c r="F85" s="112">
        <f>IF(E85&gt;=0.1,G85/26,0)</f>
        <v>0</v>
      </c>
      <c r="G85" s="112">
        <f>+IF(H85="",G78,H85)</f>
        <v>750</v>
      </c>
      <c r="H85" s="200"/>
      <c r="J85" s="200"/>
      <c r="K85" s="201"/>
      <c r="M85" s="88" t="str">
        <f t="shared" ref="M85:M96" si="91">+C85</f>
        <v>Juin 2025</v>
      </c>
      <c r="N85" s="198"/>
      <c r="P85" s="200"/>
      <c r="AY85" s="185">
        <f>IF(E85&gt;=0.1,G85/26,0)</f>
        <v>0</v>
      </c>
      <c r="AZ85" s="169">
        <f>IF($E85&gt;=0.1,+MIN($E85,$D$45-$BA78),0)</f>
        <v>0</v>
      </c>
      <c r="BA85" s="169">
        <f>+AZ85+BA78</f>
        <v>24</v>
      </c>
      <c r="BB85" s="171">
        <f>+AZ85*$AY85</f>
        <v>0</v>
      </c>
      <c r="BC85" s="176">
        <f>IF($E85&gt;=0.1,MIN($E85-$AZ85,$D$63-$BD78),0)</f>
        <v>0</v>
      </c>
      <c r="BD85" s="169">
        <f>+BC85+BD78</f>
        <v>30</v>
      </c>
      <c r="BE85" s="175">
        <f>+BC85*$AY85</f>
        <v>0</v>
      </c>
      <c r="BF85" s="176">
        <f>IF($E85&gt;=0.1,MIN($E85-$AZ85-$BC85,$D$81-$BG78),0)</f>
        <v>0</v>
      </c>
      <c r="BG85" s="169">
        <f>+BF85+BG78</f>
        <v>0</v>
      </c>
      <c r="BH85" s="175">
        <f>+BF85*$AY85</f>
        <v>0</v>
      </c>
      <c r="BI85" s="176">
        <f>IF($E85&gt;=0.1,MIN($E85-$AZ85-$BC85-$BF85,$D$99-$BJ78),0)</f>
        <v>0</v>
      </c>
      <c r="BJ85" s="169">
        <f>+BI85+BJ78</f>
        <v>0</v>
      </c>
      <c r="BK85" s="175">
        <f>+BI85*$AY85</f>
        <v>0</v>
      </c>
      <c r="BL85" s="176">
        <f>IF($E85&gt;=0.1,MIN($E85-$AZ85-$BC85-$BF85-$BI85,$D$117-$BM78),0)</f>
        <v>0</v>
      </c>
      <c r="BM85" s="169">
        <f>+BL85+BM78</f>
        <v>0</v>
      </c>
      <c r="BN85" s="175">
        <f>+BL85*$AY85</f>
        <v>0</v>
      </c>
      <c r="BO85" s="176">
        <f>IF($E85&gt;=0.1,MIN($E85-$AZ85-$BC85-$BF85-$BI85-$BL85,$D$136-$BP78),0)</f>
        <v>0</v>
      </c>
      <c r="BP85" s="169">
        <f>+BO85+BP78</f>
        <v>0</v>
      </c>
      <c r="BQ85" s="175">
        <f>+BO85*$AY85</f>
        <v>0</v>
      </c>
      <c r="BR85" s="181">
        <f>+BO85+BL85+BI85+BF85+BC85+AZ85</f>
        <v>0</v>
      </c>
      <c r="CO85" s="8" t="str">
        <f t="shared" ref="CO85:CO96" si="92">IF(B85="","NON",+IF(AND(DATE(YEAR(B85),MONTH(B85),1)&gt;=DATE(YEAR($D$15),MONTH($D$15),1),DATE(YEAR(B85),MONTH(B85),1)&lt;=DATE(YEAR($D$17),MONTH($D$17),1)),"OUI","NON"))</f>
        <v>OUI</v>
      </c>
    </row>
    <row r="86" spans="1:94" s="8" customFormat="1" ht="13.5" customHeight="1" x14ac:dyDescent="0.2">
      <c r="A86" s="36">
        <f>EDATE(A85,1)</f>
        <v>45839</v>
      </c>
      <c r="B86" s="1">
        <f>IF($B$85="","",IF(EDATE($B$85,1)&lt;=$D$17,EDATE($B$85,1),""))</f>
        <v>45839</v>
      </c>
      <c r="C86" s="88" t="str">
        <f>+IF(B86="","","Juillet"&amp;" "&amp;YEAR(B86))</f>
        <v>Juillet 2025</v>
      </c>
      <c r="D86" s="198"/>
      <c r="E86" s="199"/>
      <c r="F86" s="112">
        <f t="shared" ref="F86:F96" si="93">IF(E86&gt;=0.1,G86/26,0)</f>
        <v>0</v>
      </c>
      <c r="G86" s="112">
        <f>+IF(H86="",G85,H86)</f>
        <v>750</v>
      </c>
      <c r="H86" s="200"/>
      <c r="J86" s="200"/>
      <c r="K86" s="201"/>
      <c r="M86" s="88" t="str">
        <f t="shared" si="91"/>
        <v>Juillet 2025</v>
      </c>
      <c r="N86" s="198"/>
      <c r="P86" s="200"/>
      <c r="AY86" s="167">
        <f t="shared" ref="AY86:AY96" si="94">IF(E86&gt;=0.1,G86/26,0)</f>
        <v>0</v>
      </c>
      <c r="AZ86" s="169">
        <f t="shared" ref="AZ86:AZ96" si="95">IF($E86&gt;=0.1,+MIN($E86,$D$45-$BA85),0)</f>
        <v>0</v>
      </c>
      <c r="BA86" s="169">
        <f>+BA85+AZ86</f>
        <v>24</v>
      </c>
      <c r="BB86" s="171">
        <f t="shared" ref="BB86:BB96" si="96">+AZ86*$AY86</f>
        <v>0</v>
      </c>
      <c r="BC86" s="176">
        <f t="shared" ref="BC86:BC90" si="97">IF($E86&gt;=0.1,MIN($E86-$AZ86,$D$63-$BD85),0)</f>
        <v>0</v>
      </c>
      <c r="BD86" s="169">
        <f>+BD85+BC86</f>
        <v>30</v>
      </c>
      <c r="BE86" s="177">
        <f t="shared" ref="BE86:BE96" si="98">+BC86*$AY86</f>
        <v>0</v>
      </c>
      <c r="BF86" s="176">
        <f>IF($E86&gt;=0.1,MIN($E86-$AZ86-$BC86,$D$81-$BG85),0)</f>
        <v>0</v>
      </c>
      <c r="BG86" s="169">
        <f>+BG85+BF86</f>
        <v>0</v>
      </c>
      <c r="BH86" s="177">
        <f t="shared" ref="BH86:BH96" si="99">+BF86*$AY86</f>
        <v>0</v>
      </c>
      <c r="BI86" s="176">
        <f>IF($E86&gt;=0.1,MIN($E86-$AZ86-$BC86-$BF86,$D$99-$BJ85),0)</f>
        <v>0</v>
      </c>
      <c r="BJ86" s="169">
        <f>+BJ85+BI86</f>
        <v>0</v>
      </c>
      <c r="BK86" s="177">
        <f t="shared" ref="BK86:BK96" si="100">+BI86*$AY86</f>
        <v>0</v>
      </c>
      <c r="BL86" s="176">
        <f>IF($E86&gt;=0.1,MIN($E86-$AZ86-$BC86-$BF86-$BI86,$D$117-$BM85),0)</f>
        <v>0</v>
      </c>
      <c r="BM86" s="169">
        <f>+BM85+BL86</f>
        <v>0</v>
      </c>
      <c r="BN86" s="177">
        <f t="shared" ref="BN86:BN96" si="101">+BL86*$AY86</f>
        <v>0</v>
      </c>
      <c r="BO86" s="176">
        <f>IF($E86&gt;=0.1,MIN($E86-$AZ86-$BC86-$BF86-$BI86-$BL86,$D$136-$BP85),0)</f>
        <v>0</v>
      </c>
      <c r="BP86" s="169">
        <f>+BP85+BO86</f>
        <v>0</v>
      </c>
      <c r="BQ86" s="177">
        <f t="shared" ref="BQ86:BQ96" si="102">+BO86*$AY86</f>
        <v>0</v>
      </c>
      <c r="BR86" s="182">
        <f t="shared" ref="BR86:BR96" si="103">+BO86+BL86+BI86+BF86+BC86+AZ86</f>
        <v>0</v>
      </c>
      <c r="CO86" s="8" t="str">
        <f t="shared" si="92"/>
        <v>OUI</v>
      </c>
    </row>
    <row r="87" spans="1:94" s="8" customFormat="1" ht="13.5" customHeight="1" x14ac:dyDescent="0.2">
      <c r="A87" s="36">
        <f t="shared" ref="A87:A96" si="104">EDATE(A86,1)</f>
        <v>45870</v>
      </c>
      <c r="B87" s="1">
        <f>IF($B$86="","",IF(EDATE($B$86,1)&lt;=$D$17,EDATE($B$86,1),""))</f>
        <v>45870</v>
      </c>
      <c r="C87" s="88" t="str">
        <f>+IF(B87="","","Aout"&amp;" "&amp;YEAR(B87))</f>
        <v>Aout 2025</v>
      </c>
      <c r="D87" s="198"/>
      <c r="E87" s="199"/>
      <c r="F87" s="112">
        <f t="shared" si="93"/>
        <v>0</v>
      </c>
      <c r="G87" s="112">
        <f t="shared" ref="G87:G96" si="105">+IF(H87="",G86,H87)</f>
        <v>750</v>
      </c>
      <c r="H87" s="200"/>
      <c r="J87" s="200"/>
      <c r="K87" s="201"/>
      <c r="M87" s="88" t="str">
        <f t="shared" si="91"/>
        <v>Aout 2025</v>
      </c>
      <c r="N87" s="198"/>
      <c r="P87" s="200"/>
      <c r="AY87" s="167">
        <f t="shared" si="94"/>
        <v>0</v>
      </c>
      <c r="AZ87" s="169">
        <f t="shared" si="95"/>
        <v>0</v>
      </c>
      <c r="BA87" s="169">
        <f t="shared" ref="BA87:BA96" si="106">+BA86+AZ87</f>
        <v>24</v>
      </c>
      <c r="BB87" s="171">
        <f t="shared" si="96"/>
        <v>0</v>
      </c>
      <c r="BC87" s="176">
        <f t="shared" si="97"/>
        <v>0</v>
      </c>
      <c r="BD87" s="169">
        <f t="shared" ref="BD87:BD96" si="107">+BD86+BC87</f>
        <v>30</v>
      </c>
      <c r="BE87" s="177">
        <f t="shared" si="98"/>
        <v>0</v>
      </c>
      <c r="BF87" s="176">
        <f t="shared" ref="BF87:BF96" si="108">IF($E87&gt;=0.1,MIN($E87-$AZ87-$BC87,$D$81-$BG86),0)</f>
        <v>0</v>
      </c>
      <c r="BG87" s="169">
        <f t="shared" ref="BG87:BG96" si="109">+BG86+BF87</f>
        <v>0</v>
      </c>
      <c r="BH87" s="177">
        <f t="shared" si="99"/>
        <v>0</v>
      </c>
      <c r="BI87" s="176">
        <f t="shared" ref="BI87:BI96" si="110">IF($E87&gt;=0.1,MIN($E87-$AZ87-$BC87-$BF87,$D$99-$BJ86),0)</f>
        <v>0</v>
      </c>
      <c r="BJ87" s="169">
        <f t="shared" ref="BJ87:BJ96" si="111">+BJ86+BI87</f>
        <v>0</v>
      </c>
      <c r="BK87" s="177">
        <f t="shared" si="100"/>
        <v>0</v>
      </c>
      <c r="BL87" s="176">
        <f t="shared" ref="BL87:BL96" si="112">IF($E87&gt;=0.1,MIN($E87-$AZ87-$BC87-$BF87-$BI87,$D$117-$BM86),0)</f>
        <v>0</v>
      </c>
      <c r="BM87" s="169">
        <f t="shared" ref="BM87:BM96" si="113">+BM86+BL87</f>
        <v>0</v>
      </c>
      <c r="BN87" s="177">
        <f t="shared" si="101"/>
        <v>0</v>
      </c>
      <c r="BO87" s="176">
        <f t="shared" ref="BO87:BO96" si="114">IF($E87&gt;=0.1,MIN($E87-$AZ87-$BC87-$BF87-$BI87-$BL87,$D$136-$BP86),0)</f>
        <v>0</v>
      </c>
      <c r="BP87" s="169">
        <f t="shared" ref="BP87:BP96" si="115">+BP86+BO87</f>
        <v>0</v>
      </c>
      <c r="BQ87" s="177">
        <f t="shared" si="102"/>
        <v>0</v>
      </c>
      <c r="BR87" s="182">
        <f t="shared" si="103"/>
        <v>0</v>
      </c>
      <c r="CO87" s="8" t="str">
        <f t="shared" si="92"/>
        <v>OUI</v>
      </c>
    </row>
    <row r="88" spans="1:94" s="8" customFormat="1" ht="13.5" customHeight="1" x14ac:dyDescent="0.2">
      <c r="A88" s="36">
        <f t="shared" si="104"/>
        <v>45901</v>
      </c>
      <c r="B88" s="1">
        <f>IF($B$87="","",IF(EDATE($B$87,1)&lt;=$D$17,EDATE($B$87,1),""))</f>
        <v>45901</v>
      </c>
      <c r="C88" s="88" t="str">
        <f>+IF(B88="","","Septembre"&amp;" "&amp;YEAR(B88))</f>
        <v>Septembre 2025</v>
      </c>
      <c r="D88" s="198"/>
      <c r="E88" s="199"/>
      <c r="F88" s="112">
        <f t="shared" si="93"/>
        <v>0</v>
      </c>
      <c r="G88" s="112">
        <f t="shared" si="105"/>
        <v>750</v>
      </c>
      <c r="H88" s="200"/>
      <c r="J88" s="200"/>
      <c r="K88" s="201"/>
      <c r="M88" s="88" t="str">
        <f t="shared" si="91"/>
        <v>Septembre 2025</v>
      </c>
      <c r="N88" s="198"/>
      <c r="P88" s="200"/>
      <c r="AY88" s="167">
        <f t="shared" si="94"/>
        <v>0</v>
      </c>
      <c r="AZ88" s="169">
        <f t="shared" si="95"/>
        <v>0</v>
      </c>
      <c r="BA88" s="169">
        <f t="shared" si="106"/>
        <v>24</v>
      </c>
      <c r="BB88" s="171">
        <f t="shared" si="96"/>
        <v>0</v>
      </c>
      <c r="BC88" s="176">
        <f t="shared" si="97"/>
        <v>0</v>
      </c>
      <c r="BD88" s="169">
        <f t="shared" si="107"/>
        <v>30</v>
      </c>
      <c r="BE88" s="177">
        <f t="shared" si="98"/>
        <v>0</v>
      </c>
      <c r="BF88" s="176">
        <f t="shared" si="108"/>
        <v>0</v>
      </c>
      <c r="BG88" s="169">
        <f t="shared" si="109"/>
        <v>0</v>
      </c>
      <c r="BH88" s="177">
        <f t="shared" si="99"/>
        <v>0</v>
      </c>
      <c r="BI88" s="176">
        <f t="shared" si="110"/>
        <v>0</v>
      </c>
      <c r="BJ88" s="169">
        <f t="shared" si="111"/>
        <v>0</v>
      </c>
      <c r="BK88" s="177">
        <f t="shared" si="100"/>
        <v>0</v>
      </c>
      <c r="BL88" s="176">
        <f t="shared" si="112"/>
        <v>0</v>
      </c>
      <c r="BM88" s="169">
        <f t="shared" si="113"/>
        <v>0</v>
      </c>
      <c r="BN88" s="177">
        <f t="shared" si="101"/>
        <v>0</v>
      </c>
      <c r="BO88" s="176">
        <f t="shared" si="114"/>
        <v>0</v>
      </c>
      <c r="BP88" s="169">
        <f t="shared" si="115"/>
        <v>0</v>
      </c>
      <c r="BQ88" s="177">
        <f t="shared" si="102"/>
        <v>0</v>
      </c>
      <c r="BR88" s="182">
        <f t="shared" si="103"/>
        <v>0</v>
      </c>
      <c r="CO88" s="8" t="str">
        <f t="shared" si="92"/>
        <v>OUI</v>
      </c>
    </row>
    <row r="89" spans="1:94" s="8" customFormat="1" ht="13.5" customHeight="1" x14ac:dyDescent="0.2">
      <c r="A89" s="36">
        <f t="shared" si="104"/>
        <v>45931</v>
      </c>
      <c r="B89" s="1">
        <f>IF($B$88="","",IF(EDATE($B$88,1)&lt;=$D$17,EDATE($B$88,1),""))</f>
        <v>45931</v>
      </c>
      <c r="C89" s="88" t="str">
        <f>+IF(B89="","","Octobre"&amp;" "&amp;YEAR(B89))</f>
        <v>Octobre 2025</v>
      </c>
      <c r="D89" s="198"/>
      <c r="E89" s="199"/>
      <c r="F89" s="112">
        <f t="shared" si="93"/>
        <v>0</v>
      </c>
      <c r="G89" s="112">
        <f t="shared" si="105"/>
        <v>750</v>
      </c>
      <c r="H89" s="200"/>
      <c r="J89" s="200"/>
      <c r="K89" s="201"/>
      <c r="M89" s="88" t="str">
        <f t="shared" si="91"/>
        <v>Octobre 2025</v>
      </c>
      <c r="N89" s="198"/>
      <c r="P89" s="200"/>
      <c r="AY89" s="167">
        <f t="shared" si="94"/>
        <v>0</v>
      </c>
      <c r="AZ89" s="169">
        <f t="shared" si="95"/>
        <v>0</v>
      </c>
      <c r="BA89" s="169">
        <f t="shared" si="106"/>
        <v>24</v>
      </c>
      <c r="BB89" s="171">
        <f t="shared" si="96"/>
        <v>0</v>
      </c>
      <c r="BC89" s="176">
        <f t="shared" si="97"/>
        <v>0</v>
      </c>
      <c r="BD89" s="169">
        <f t="shared" si="107"/>
        <v>30</v>
      </c>
      <c r="BE89" s="177">
        <f t="shared" si="98"/>
        <v>0</v>
      </c>
      <c r="BF89" s="176">
        <f t="shared" si="108"/>
        <v>0</v>
      </c>
      <c r="BG89" s="169">
        <f t="shared" si="109"/>
        <v>0</v>
      </c>
      <c r="BH89" s="177">
        <f t="shared" si="99"/>
        <v>0</v>
      </c>
      <c r="BI89" s="176">
        <f t="shared" si="110"/>
        <v>0</v>
      </c>
      <c r="BJ89" s="169">
        <f t="shared" si="111"/>
        <v>0</v>
      </c>
      <c r="BK89" s="177">
        <f t="shared" si="100"/>
        <v>0</v>
      </c>
      <c r="BL89" s="176">
        <f t="shared" si="112"/>
        <v>0</v>
      </c>
      <c r="BM89" s="169">
        <f t="shared" si="113"/>
        <v>0</v>
      </c>
      <c r="BN89" s="177">
        <f t="shared" si="101"/>
        <v>0</v>
      </c>
      <c r="BO89" s="176">
        <f t="shared" si="114"/>
        <v>0</v>
      </c>
      <c r="BP89" s="169">
        <f t="shared" si="115"/>
        <v>0</v>
      </c>
      <c r="BQ89" s="177">
        <f t="shared" si="102"/>
        <v>0</v>
      </c>
      <c r="BR89" s="182">
        <f t="shared" si="103"/>
        <v>0</v>
      </c>
      <c r="CO89" s="8" t="str">
        <f t="shared" si="92"/>
        <v>OUI</v>
      </c>
    </row>
    <row r="90" spans="1:94" s="8" customFormat="1" ht="13.5" customHeight="1" x14ac:dyDescent="0.2">
      <c r="A90" s="36">
        <f t="shared" si="104"/>
        <v>45962</v>
      </c>
      <c r="B90" s="1">
        <f>IF($B$89="","",IF(EDATE($B$89,1)&lt;=$D$17,EDATE($B$89,1),""))</f>
        <v>45962</v>
      </c>
      <c r="C90" s="88" t="str">
        <f>+IF(B90="","","Novembre"&amp;" "&amp;YEAR(B90))</f>
        <v>Novembre 2025</v>
      </c>
      <c r="D90" s="198"/>
      <c r="E90" s="199"/>
      <c r="F90" s="112">
        <f t="shared" si="93"/>
        <v>0</v>
      </c>
      <c r="G90" s="112">
        <f t="shared" si="105"/>
        <v>750</v>
      </c>
      <c r="H90" s="200"/>
      <c r="J90" s="200"/>
      <c r="K90" s="201"/>
      <c r="M90" s="88" t="str">
        <f t="shared" si="91"/>
        <v>Novembre 2025</v>
      </c>
      <c r="N90" s="198"/>
      <c r="P90" s="200"/>
      <c r="AY90" s="167">
        <f t="shared" si="94"/>
        <v>0</v>
      </c>
      <c r="AZ90" s="169">
        <f t="shared" si="95"/>
        <v>0</v>
      </c>
      <c r="BA90" s="169">
        <f t="shared" si="106"/>
        <v>24</v>
      </c>
      <c r="BB90" s="171">
        <f t="shared" si="96"/>
        <v>0</v>
      </c>
      <c r="BC90" s="176">
        <f t="shared" si="97"/>
        <v>0</v>
      </c>
      <c r="BD90" s="169">
        <f t="shared" si="107"/>
        <v>30</v>
      </c>
      <c r="BE90" s="177">
        <f t="shared" si="98"/>
        <v>0</v>
      </c>
      <c r="BF90" s="176">
        <f t="shared" si="108"/>
        <v>0</v>
      </c>
      <c r="BG90" s="169">
        <f t="shared" si="109"/>
        <v>0</v>
      </c>
      <c r="BH90" s="177">
        <f t="shared" si="99"/>
        <v>0</v>
      </c>
      <c r="BI90" s="176">
        <f t="shared" si="110"/>
        <v>0</v>
      </c>
      <c r="BJ90" s="169">
        <f t="shared" si="111"/>
        <v>0</v>
      </c>
      <c r="BK90" s="177">
        <f t="shared" si="100"/>
        <v>0</v>
      </c>
      <c r="BL90" s="176">
        <f t="shared" si="112"/>
        <v>0</v>
      </c>
      <c r="BM90" s="169">
        <f t="shared" si="113"/>
        <v>0</v>
      </c>
      <c r="BN90" s="177">
        <f t="shared" si="101"/>
        <v>0</v>
      </c>
      <c r="BO90" s="176">
        <f t="shared" si="114"/>
        <v>0</v>
      </c>
      <c r="BP90" s="169">
        <f t="shared" si="115"/>
        <v>0</v>
      </c>
      <c r="BQ90" s="177">
        <f t="shared" si="102"/>
        <v>0</v>
      </c>
      <c r="BR90" s="182">
        <f t="shared" si="103"/>
        <v>0</v>
      </c>
      <c r="CO90" s="8" t="str">
        <f t="shared" si="92"/>
        <v>OUI</v>
      </c>
    </row>
    <row r="91" spans="1:94" s="8" customFormat="1" ht="13.5" customHeight="1" x14ac:dyDescent="0.2">
      <c r="A91" s="36">
        <f t="shared" si="104"/>
        <v>45992</v>
      </c>
      <c r="B91" s="1">
        <f>IF($B$90="","",IF(EDATE($B$90,1)&lt;=$D$17,EDATE($B$90,1),""))</f>
        <v>45992</v>
      </c>
      <c r="C91" s="88" t="str">
        <f>+IF(B91="","","Décembre"&amp;" "&amp;YEAR(B91))</f>
        <v>Décembre 2025</v>
      </c>
      <c r="D91" s="198"/>
      <c r="E91" s="199"/>
      <c r="F91" s="112">
        <f t="shared" si="93"/>
        <v>0</v>
      </c>
      <c r="G91" s="112">
        <f t="shared" si="105"/>
        <v>750</v>
      </c>
      <c r="H91" s="200"/>
      <c r="J91" s="200"/>
      <c r="K91" s="201"/>
      <c r="M91" s="88" t="str">
        <f t="shared" si="91"/>
        <v>Décembre 2025</v>
      </c>
      <c r="N91" s="198"/>
      <c r="P91" s="200"/>
      <c r="AY91" s="167">
        <f t="shared" si="94"/>
        <v>0</v>
      </c>
      <c r="AZ91" s="169">
        <f t="shared" si="95"/>
        <v>0</v>
      </c>
      <c r="BA91" s="169">
        <f t="shared" si="106"/>
        <v>24</v>
      </c>
      <c r="BB91" s="171">
        <f t="shared" si="96"/>
        <v>0</v>
      </c>
      <c r="BC91" s="176">
        <f>IF($E91&gt;=0.1,MIN($E91-$AZ91,$D$63-$BD90),0)</f>
        <v>0</v>
      </c>
      <c r="BD91" s="169">
        <f t="shared" si="107"/>
        <v>30</v>
      </c>
      <c r="BE91" s="177">
        <f t="shared" si="98"/>
        <v>0</v>
      </c>
      <c r="BF91" s="176">
        <f t="shared" si="108"/>
        <v>0</v>
      </c>
      <c r="BG91" s="169">
        <f t="shared" si="109"/>
        <v>0</v>
      </c>
      <c r="BH91" s="177">
        <f t="shared" si="99"/>
        <v>0</v>
      </c>
      <c r="BI91" s="176">
        <f t="shared" si="110"/>
        <v>0</v>
      </c>
      <c r="BJ91" s="169">
        <f t="shared" si="111"/>
        <v>0</v>
      </c>
      <c r="BK91" s="177">
        <f t="shared" si="100"/>
        <v>0</v>
      </c>
      <c r="BL91" s="176">
        <f t="shared" si="112"/>
        <v>0</v>
      </c>
      <c r="BM91" s="169">
        <f t="shared" si="113"/>
        <v>0</v>
      </c>
      <c r="BN91" s="177">
        <f t="shared" si="101"/>
        <v>0</v>
      </c>
      <c r="BO91" s="176">
        <f t="shared" si="114"/>
        <v>0</v>
      </c>
      <c r="BP91" s="169">
        <f t="shared" si="115"/>
        <v>0</v>
      </c>
      <c r="BQ91" s="177">
        <f t="shared" si="102"/>
        <v>0</v>
      </c>
      <c r="BR91" s="182">
        <f t="shared" si="103"/>
        <v>0</v>
      </c>
      <c r="CO91" s="8" t="str">
        <f t="shared" si="92"/>
        <v>OUI</v>
      </c>
    </row>
    <row r="92" spans="1:94" s="8" customFormat="1" ht="13.5" customHeight="1" x14ac:dyDescent="0.2">
      <c r="A92" s="36">
        <f t="shared" si="104"/>
        <v>46023</v>
      </c>
      <c r="B92" s="1">
        <f>IF($B$91="","",IF(EDATE($B$91,1)&lt;=$D$17,EDATE($B$91,1),""))</f>
        <v>46023</v>
      </c>
      <c r="C92" s="88" t="str">
        <f>+IF(B92="","","Janvier"&amp;" "&amp;YEAR(B92))</f>
        <v>Janvier 2026</v>
      </c>
      <c r="D92" s="198"/>
      <c r="E92" s="199"/>
      <c r="F92" s="112">
        <f t="shared" si="93"/>
        <v>0</v>
      </c>
      <c r="G92" s="112">
        <f t="shared" si="105"/>
        <v>750</v>
      </c>
      <c r="H92" s="200"/>
      <c r="J92" s="200"/>
      <c r="K92" s="201"/>
      <c r="M92" s="88" t="str">
        <f t="shared" si="91"/>
        <v>Janvier 2026</v>
      </c>
      <c r="N92" s="198"/>
      <c r="P92" s="200"/>
      <c r="AY92" s="167">
        <f t="shared" si="94"/>
        <v>0</v>
      </c>
      <c r="AZ92" s="169">
        <f t="shared" si="95"/>
        <v>0</v>
      </c>
      <c r="BA92" s="169">
        <f t="shared" si="106"/>
        <v>24</v>
      </c>
      <c r="BB92" s="171">
        <f t="shared" si="96"/>
        <v>0</v>
      </c>
      <c r="BC92" s="176">
        <f t="shared" ref="BC92:BC96" si="116">IF($E92&gt;=0.1,MIN($E92-$AZ92,$D$63-$BD91),0)</f>
        <v>0</v>
      </c>
      <c r="BD92" s="169">
        <f t="shared" si="107"/>
        <v>30</v>
      </c>
      <c r="BE92" s="177">
        <f t="shared" si="98"/>
        <v>0</v>
      </c>
      <c r="BF92" s="176">
        <f t="shared" si="108"/>
        <v>0</v>
      </c>
      <c r="BG92" s="169">
        <f t="shared" si="109"/>
        <v>0</v>
      </c>
      <c r="BH92" s="177">
        <f t="shared" si="99"/>
        <v>0</v>
      </c>
      <c r="BI92" s="176">
        <f t="shared" si="110"/>
        <v>0</v>
      </c>
      <c r="BJ92" s="169">
        <f t="shared" si="111"/>
        <v>0</v>
      </c>
      <c r="BK92" s="177">
        <f t="shared" si="100"/>
        <v>0</v>
      </c>
      <c r="BL92" s="176">
        <f t="shared" si="112"/>
        <v>0</v>
      </c>
      <c r="BM92" s="169">
        <f t="shared" si="113"/>
        <v>0</v>
      </c>
      <c r="BN92" s="177">
        <f t="shared" si="101"/>
        <v>0</v>
      </c>
      <c r="BO92" s="176">
        <f t="shared" si="114"/>
        <v>0</v>
      </c>
      <c r="BP92" s="169">
        <f t="shared" si="115"/>
        <v>0</v>
      </c>
      <c r="BQ92" s="177">
        <f t="shared" si="102"/>
        <v>0</v>
      </c>
      <c r="BR92" s="182">
        <f t="shared" si="103"/>
        <v>0</v>
      </c>
      <c r="CO92" s="8" t="str">
        <f t="shared" si="92"/>
        <v>OUI</v>
      </c>
    </row>
    <row r="93" spans="1:94" s="8" customFormat="1" ht="13.5" customHeight="1" x14ac:dyDescent="0.2">
      <c r="A93" s="36">
        <f t="shared" si="104"/>
        <v>46054</v>
      </c>
      <c r="B93" s="1">
        <f>IF($B$92="","",IF(EDATE($B$92,1)&lt;=$D$17,EDATE($B$92,1),""))</f>
        <v>46054</v>
      </c>
      <c r="C93" s="88" t="str">
        <f>+IF(B93="","","Février"&amp;" "&amp;YEAR(B93))</f>
        <v>Février 2026</v>
      </c>
      <c r="D93" s="198"/>
      <c r="E93" s="199"/>
      <c r="F93" s="112">
        <f t="shared" si="93"/>
        <v>0</v>
      </c>
      <c r="G93" s="112">
        <f t="shared" si="105"/>
        <v>750</v>
      </c>
      <c r="H93" s="200"/>
      <c r="J93" s="200"/>
      <c r="K93" s="201"/>
      <c r="M93" s="88" t="str">
        <f t="shared" si="91"/>
        <v>Février 2026</v>
      </c>
      <c r="N93" s="198"/>
      <c r="P93" s="200"/>
      <c r="AY93" s="167">
        <f t="shared" si="94"/>
        <v>0</v>
      </c>
      <c r="AZ93" s="169">
        <f t="shared" si="95"/>
        <v>0</v>
      </c>
      <c r="BA93" s="169">
        <f t="shared" si="106"/>
        <v>24</v>
      </c>
      <c r="BB93" s="171">
        <f t="shared" si="96"/>
        <v>0</v>
      </c>
      <c r="BC93" s="176">
        <f t="shared" si="116"/>
        <v>0</v>
      </c>
      <c r="BD93" s="169">
        <f t="shared" si="107"/>
        <v>30</v>
      </c>
      <c r="BE93" s="177">
        <f t="shared" si="98"/>
        <v>0</v>
      </c>
      <c r="BF93" s="176">
        <f t="shared" si="108"/>
        <v>0</v>
      </c>
      <c r="BG93" s="169">
        <f t="shared" si="109"/>
        <v>0</v>
      </c>
      <c r="BH93" s="177">
        <f t="shared" si="99"/>
        <v>0</v>
      </c>
      <c r="BI93" s="176">
        <f t="shared" si="110"/>
        <v>0</v>
      </c>
      <c r="BJ93" s="169">
        <f t="shared" si="111"/>
        <v>0</v>
      </c>
      <c r="BK93" s="177">
        <f t="shared" si="100"/>
        <v>0</v>
      </c>
      <c r="BL93" s="176">
        <f t="shared" si="112"/>
        <v>0</v>
      </c>
      <c r="BM93" s="169">
        <f t="shared" si="113"/>
        <v>0</v>
      </c>
      <c r="BN93" s="177">
        <f t="shared" si="101"/>
        <v>0</v>
      </c>
      <c r="BO93" s="176">
        <f t="shared" si="114"/>
        <v>0</v>
      </c>
      <c r="BP93" s="169">
        <f t="shared" si="115"/>
        <v>0</v>
      </c>
      <c r="BQ93" s="177">
        <f t="shared" si="102"/>
        <v>0</v>
      </c>
      <c r="BR93" s="182">
        <f t="shared" si="103"/>
        <v>0</v>
      </c>
      <c r="CO93" s="8" t="str">
        <f t="shared" si="92"/>
        <v>OUI</v>
      </c>
    </row>
    <row r="94" spans="1:94" s="8" customFormat="1" ht="13.5" customHeight="1" x14ac:dyDescent="0.2">
      <c r="A94" s="36">
        <f t="shared" si="104"/>
        <v>46082</v>
      </c>
      <c r="B94" s="1">
        <f>IF($B$93="","",IF(EDATE($B$93,1)&lt;=$D$17,EDATE($B$93,1),""))</f>
        <v>46082</v>
      </c>
      <c r="C94" s="88" t="str">
        <f>+IF(B94="","","Mars"&amp;" "&amp;YEAR(B94))</f>
        <v>Mars 2026</v>
      </c>
      <c r="D94" s="198"/>
      <c r="E94" s="199"/>
      <c r="F94" s="112">
        <f t="shared" si="93"/>
        <v>0</v>
      </c>
      <c r="G94" s="112">
        <f t="shared" si="105"/>
        <v>750</v>
      </c>
      <c r="H94" s="200"/>
      <c r="J94" s="200"/>
      <c r="K94" s="201"/>
      <c r="M94" s="88" t="str">
        <f t="shared" si="91"/>
        <v>Mars 2026</v>
      </c>
      <c r="N94" s="198"/>
      <c r="P94" s="200"/>
      <c r="AY94" s="167">
        <f t="shared" si="94"/>
        <v>0</v>
      </c>
      <c r="AZ94" s="169">
        <f t="shared" si="95"/>
        <v>0</v>
      </c>
      <c r="BA94" s="169">
        <f t="shared" si="106"/>
        <v>24</v>
      </c>
      <c r="BB94" s="171">
        <f t="shared" si="96"/>
        <v>0</v>
      </c>
      <c r="BC94" s="176">
        <f t="shared" si="116"/>
        <v>0</v>
      </c>
      <c r="BD94" s="169">
        <f t="shared" si="107"/>
        <v>30</v>
      </c>
      <c r="BE94" s="177">
        <f t="shared" si="98"/>
        <v>0</v>
      </c>
      <c r="BF94" s="176">
        <f t="shared" si="108"/>
        <v>0</v>
      </c>
      <c r="BG94" s="169">
        <f t="shared" si="109"/>
        <v>0</v>
      </c>
      <c r="BH94" s="177">
        <f t="shared" si="99"/>
        <v>0</v>
      </c>
      <c r="BI94" s="176">
        <f t="shared" si="110"/>
        <v>0</v>
      </c>
      <c r="BJ94" s="169">
        <f t="shared" si="111"/>
        <v>0</v>
      </c>
      <c r="BK94" s="177">
        <f t="shared" si="100"/>
        <v>0</v>
      </c>
      <c r="BL94" s="176">
        <f t="shared" si="112"/>
        <v>0</v>
      </c>
      <c r="BM94" s="169">
        <f t="shared" si="113"/>
        <v>0</v>
      </c>
      <c r="BN94" s="177">
        <f t="shared" si="101"/>
        <v>0</v>
      </c>
      <c r="BO94" s="176">
        <f t="shared" si="114"/>
        <v>0</v>
      </c>
      <c r="BP94" s="169">
        <f t="shared" si="115"/>
        <v>0</v>
      </c>
      <c r="BQ94" s="177">
        <f t="shared" si="102"/>
        <v>0</v>
      </c>
      <c r="BR94" s="182">
        <f t="shared" si="103"/>
        <v>0</v>
      </c>
      <c r="CO94" s="8" t="str">
        <f t="shared" si="92"/>
        <v>OUI</v>
      </c>
    </row>
    <row r="95" spans="1:94" s="8" customFormat="1" ht="13.5" customHeight="1" x14ac:dyDescent="0.2">
      <c r="A95" s="36">
        <f t="shared" si="104"/>
        <v>46113</v>
      </c>
      <c r="B95" s="1">
        <f>IF($B$94="","",IF(EDATE($B$94,1)&lt;=$D$17,EDATE($B$94,1),""))</f>
        <v>46113</v>
      </c>
      <c r="C95" s="88" t="str">
        <f>+IF(B95="","","Avril"&amp;" "&amp;YEAR(B95))</f>
        <v>Avril 2026</v>
      </c>
      <c r="D95" s="198"/>
      <c r="E95" s="199"/>
      <c r="F95" s="112">
        <f t="shared" si="93"/>
        <v>0</v>
      </c>
      <c r="G95" s="112">
        <f t="shared" si="105"/>
        <v>750</v>
      </c>
      <c r="H95" s="200"/>
      <c r="J95" s="200"/>
      <c r="K95" s="201"/>
      <c r="M95" s="88" t="str">
        <f t="shared" si="91"/>
        <v>Avril 2026</v>
      </c>
      <c r="N95" s="198"/>
      <c r="P95" s="200"/>
      <c r="AY95" s="167">
        <f t="shared" si="94"/>
        <v>0</v>
      </c>
      <c r="AZ95" s="169">
        <f t="shared" si="95"/>
        <v>0</v>
      </c>
      <c r="BA95" s="169">
        <f t="shared" si="106"/>
        <v>24</v>
      </c>
      <c r="BB95" s="171">
        <f t="shared" si="96"/>
        <v>0</v>
      </c>
      <c r="BC95" s="176">
        <f t="shared" si="116"/>
        <v>0</v>
      </c>
      <c r="BD95" s="169">
        <f t="shared" si="107"/>
        <v>30</v>
      </c>
      <c r="BE95" s="177">
        <f t="shared" si="98"/>
        <v>0</v>
      </c>
      <c r="BF95" s="176">
        <f t="shared" si="108"/>
        <v>0</v>
      </c>
      <c r="BG95" s="169">
        <f t="shared" si="109"/>
        <v>0</v>
      </c>
      <c r="BH95" s="177">
        <f t="shared" si="99"/>
        <v>0</v>
      </c>
      <c r="BI95" s="176">
        <f t="shared" si="110"/>
        <v>0</v>
      </c>
      <c r="BJ95" s="169">
        <f t="shared" si="111"/>
        <v>0</v>
      </c>
      <c r="BK95" s="177">
        <f t="shared" si="100"/>
        <v>0</v>
      </c>
      <c r="BL95" s="176">
        <f t="shared" si="112"/>
        <v>0</v>
      </c>
      <c r="BM95" s="169">
        <f t="shared" si="113"/>
        <v>0</v>
      </c>
      <c r="BN95" s="177">
        <f t="shared" si="101"/>
        <v>0</v>
      </c>
      <c r="BO95" s="176">
        <f t="shared" si="114"/>
        <v>0</v>
      </c>
      <c r="BP95" s="169">
        <f t="shared" si="115"/>
        <v>0</v>
      </c>
      <c r="BQ95" s="177">
        <f t="shared" si="102"/>
        <v>0</v>
      </c>
      <c r="BR95" s="182">
        <f t="shared" si="103"/>
        <v>0</v>
      </c>
      <c r="CO95" s="8" t="str">
        <f t="shared" si="92"/>
        <v>OUI</v>
      </c>
    </row>
    <row r="96" spans="1:94" s="8" customFormat="1" ht="13.5" customHeight="1" x14ac:dyDescent="0.2">
      <c r="A96" s="36">
        <f t="shared" si="104"/>
        <v>46143</v>
      </c>
      <c r="B96" s="1">
        <f>IF($B$95="","",IF(EDATE($B$95,1)&lt;=$D$17,EDATE($B$95,1),""))</f>
        <v>46143</v>
      </c>
      <c r="C96" s="88" t="str">
        <f>+IF(B96="","","Mai"&amp;" "&amp;YEAR(B96))</f>
        <v>Mai 2026</v>
      </c>
      <c r="D96" s="198"/>
      <c r="E96" s="199"/>
      <c r="F96" s="112">
        <f t="shared" si="93"/>
        <v>0</v>
      </c>
      <c r="G96" s="112">
        <f t="shared" si="105"/>
        <v>750</v>
      </c>
      <c r="H96" s="200"/>
      <c r="J96" s="200"/>
      <c r="K96" s="201"/>
      <c r="M96" s="88" t="str">
        <f t="shared" si="91"/>
        <v>Mai 2026</v>
      </c>
      <c r="N96" s="198"/>
      <c r="P96" s="200"/>
      <c r="AY96" s="168">
        <f t="shared" si="94"/>
        <v>0</v>
      </c>
      <c r="AZ96" s="170">
        <f t="shared" si="95"/>
        <v>0</v>
      </c>
      <c r="BA96" s="170">
        <f t="shared" si="106"/>
        <v>24</v>
      </c>
      <c r="BB96" s="172">
        <f t="shared" si="96"/>
        <v>0</v>
      </c>
      <c r="BC96" s="178">
        <f t="shared" si="116"/>
        <v>0</v>
      </c>
      <c r="BD96" s="170">
        <f t="shared" si="107"/>
        <v>30</v>
      </c>
      <c r="BE96" s="179">
        <f t="shared" si="98"/>
        <v>0</v>
      </c>
      <c r="BF96" s="178">
        <f t="shared" si="108"/>
        <v>0</v>
      </c>
      <c r="BG96" s="170">
        <f t="shared" si="109"/>
        <v>0</v>
      </c>
      <c r="BH96" s="179">
        <f t="shared" si="99"/>
        <v>0</v>
      </c>
      <c r="BI96" s="178">
        <f t="shared" si="110"/>
        <v>0</v>
      </c>
      <c r="BJ96" s="170">
        <f t="shared" si="111"/>
        <v>0</v>
      </c>
      <c r="BK96" s="179">
        <f t="shared" si="100"/>
        <v>0</v>
      </c>
      <c r="BL96" s="178">
        <f t="shared" si="112"/>
        <v>0</v>
      </c>
      <c r="BM96" s="170">
        <f t="shared" si="113"/>
        <v>0</v>
      </c>
      <c r="BN96" s="179">
        <f t="shared" si="101"/>
        <v>0</v>
      </c>
      <c r="BO96" s="178">
        <f t="shared" si="114"/>
        <v>0</v>
      </c>
      <c r="BP96" s="170">
        <f t="shared" si="115"/>
        <v>0</v>
      </c>
      <c r="BQ96" s="179">
        <f t="shared" si="102"/>
        <v>0</v>
      </c>
      <c r="BR96" s="183">
        <f t="shared" si="103"/>
        <v>0</v>
      </c>
      <c r="CO96" s="8" t="str">
        <f t="shared" si="92"/>
        <v>OUI</v>
      </c>
      <c r="CP96" s="8" t="s">
        <v>81</v>
      </c>
    </row>
    <row r="97" spans="1:94" s="8" customFormat="1" ht="12.75" x14ac:dyDescent="0.2">
      <c r="A97" s="4"/>
      <c r="B97" s="6"/>
      <c r="C97" s="38" t="s">
        <v>82</v>
      </c>
      <c r="D97" s="39">
        <f>+N99</f>
        <v>0</v>
      </c>
      <c r="F97" s="125"/>
      <c r="G97" s="125"/>
      <c r="J97" s="40">
        <f>+P99</f>
        <v>0</v>
      </c>
      <c r="BR97" s="166"/>
    </row>
    <row r="98" spans="1:94" s="8" customFormat="1" ht="13.5" customHeight="1" x14ac:dyDescent="0.2">
      <c r="A98" s="36"/>
      <c r="B98" s="1"/>
      <c r="C98" s="41" t="s">
        <v>83</v>
      </c>
      <c r="D98" s="202"/>
      <c r="E98" s="43"/>
      <c r="F98" s="125"/>
      <c r="G98" s="125"/>
      <c r="J98" s="116"/>
      <c r="K98" s="134"/>
      <c r="BB98" s="173">
        <f>SUM(BB85:BB96)</f>
        <v>0</v>
      </c>
      <c r="BE98" s="173">
        <f>SUM(BE85:BE96)</f>
        <v>0</v>
      </c>
      <c r="BH98" s="173">
        <f>SUM(BH85:BH96)</f>
        <v>0</v>
      </c>
      <c r="BK98" s="173">
        <f>SUM(BK85:BK96)</f>
        <v>0</v>
      </c>
      <c r="BN98" s="173">
        <f>SUM(BN85:BN96)</f>
        <v>0</v>
      </c>
      <c r="BQ98" s="173">
        <f>SUM(BQ85:BQ96)</f>
        <v>0</v>
      </c>
      <c r="BR98" s="184">
        <f>SUM(BR85:BR97)</f>
        <v>0</v>
      </c>
      <c r="CP98" s="8" t="str">
        <f>+IF(C103="","NON","OUI")</f>
        <v>OUI</v>
      </c>
    </row>
    <row r="99" spans="1:94" s="8" customFormat="1" ht="40.5" customHeight="1" x14ac:dyDescent="0.2">
      <c r="A99" s="36"/>
      <c r="B99" s="1"/>
      <c r="C99" s="157" t="s">
        <v>84</v>
      </c>
      <c r="D99" s="155">
        <f>MIN(ROUNDUP(SUM(D85:D98),0),30)</f>
        <v>0</v>
      </c>
      <c r="E99" s="165">
        <f>SUM(E85:E96)</f>
        <v>0</v>
      </c>
      <c r="F99" s="204" t="str">
        <f>+IF($E$139&gt;$D$139,"TROP DE JOURS pris par rapport aux jours acquis ou aux jours en cours d'acquisition","")</f>
        <v/>
      </c>
      <c r="G99" s="205"/>
      <c r="H99" s="205"/>
      <c r="J99" s="135">
        <f>SUM(J85:J98)</f>
        <v>0</v>
      </c>
      <c r="K99" s="118" t="e">
        <f>"Valeur d'un jour ouvrable de CP en 10% = "&amp;ROUND(J99,2)&amp;" € / "&amp;ROUNDUP(SUM(D85:D96),0)&amp;" jrs X 0,10 = "&amp;ROUND(J99/(ROUNDUP(SUM(D85:D96),0))*0.1,2)&amp;" €"</f>
        <v>#DIV/0!</v>
      </c>
      <c r="N99" s="39">
        <f>SUM(N85:N96)</f>
        <v>0</v>
      </c>
      <c r="P99" s="48">
        <f>SUM(P85:P96)</f>
        <v>0</v>
      </c>
    </row>
    <row r="100" spans="1:94" s="8" customFormat="1" ht="30" hidden="1" customHeight="1" x14ac:dyDescent="0.2">
      <c r="A100" s="36"/>
      <c r="B100" s="1"/>
      <c r="C100" s="156" t="s">
        <v>85</v>
      </c>
      <c r="D100" s="153">
        <f>+D82+D99</f>
        <v>84</v>
      </c>
      <c r="E100" s="154">
        <f>+E99+E82</f>
        <v>54</v>
      </c>
      <c r="J100" s="52">
        <f>+J82+J99</f>
        <v>22896.574615384619</v>
      </c>
      <c r="K100" s="114"/>
      <c r="L100" s="93"/>
    </row>
    <row r="101" spans="1:94" s="8" customFormat="1" ht="48" customHeight="1" x14ac:dyDescent="0.2">
      <c r="A101" s="36"/>
      <c r="B101" s="1"/>
      <c r="C101" s="58"/>
      <c r="D101" s="59"/>
      <c r="E101" s="60"/>
      <c r="J101" s="61"/>
      <c r="K101" s="114"/>
      <c r="AZ101" s="206" t="str">
        <f>+AZ83</f>
        <v>Période : 
Septembre 2022 à Mai 2023</v>
      </c>
      <c r="BA101" s="206"/>
      <c r="BB101" s="206"/>
      <c r="BC101" s="206" t="str">
        <f>+BC83</f>
        <v>Période : 
Juin 2023 à Mai 2024</v>
      </c>
      <c r="BD101" s="206"/>
      <c r="BE101" s="206"/>
      <c r="BF101" s="206" t="str">
        <f t="shared" ref="BF101" si="117">+BF83</f>
        <v>Période de : 
Juin 2024 à Mai 2025</v>
      </c>
      <c r="BG101" s="206"/>
      <c r="BH101" s="206"/>
      <c r="BI101" s="206" t="str">
        <f t="shared" ref="BI101" si="118">+BI83</f>
        <v>Période de : 
Juin 2025 à Mai 2026</v>
      </c>
      <c r="BJ101" s="206"/>
      <c r="BK101" s="206"/>
      <c r="BL101" s="206" t="str">
        <f t="shared" ref="BL101" si="119">+BL83</f>
        <v>Période de : 
Juin 2026 à Mai 2027</v>
      </c>
      <c r="BM101" s="206"/>
      <c r="BN101" s="206"/>
      <c r="BO101" s="206" t="str">
        <f t="shared" ref="BO101" si="120">+BO83</f>
        <v>Période de : 
Juin 2027 à Mai 2028</v>
      </c>
      <c r="BP101" s="206"/>
      <c r="BQ101" s="206"/>
    </row>
    <row r="102" spans="1:94" s="8" customFormat="1" ht="63.75" x14ac:dyDescent="0.2">
      <c r="A102" s="4"/>
      <c r="B102" s="6"/>
      <c r="C102" s="27" t="str">
        <f>"Période de : "&amp;CHAR(10)&amp;PROPER(+TEXT(B103,"mmmm"))&amp;" "&amp;YEAR(B103)&amp;" à "&amp;IF(D17&gt;=B114,C114,PROPER(+TEXT(D17,"mmmm"))&amp;" "&amp;YEAR(D17))</f>
        <v>Période de : 
Juin 2026 à Mai 2027</v>
      </c>
      <c r="D102" s="27" t="str">
        <f>+D84</f>
        <v>Jours acquis dans l'année</v>
      </c>
      <c r="E102" s="28" t="s">
        <v>87</v>
      </c>
      <c r="F102" s="28" t="s">
        <v>103</v>
      </c>
      <c r="G102" s="27" t="s">
        <v>94</v>
      </c>
      <c r="H102" s="27" t="s">
        <v>90</v>
      </c>
      <c r="I102" s="105"/>
      <c r="J102" s="27" t="str">
        <f>+J84</f>
        <v>Salaires nets de l'année (hors indemnités)</v>
      </c>
      <c r="K102" s="27" t="s">
        <v>74</v>
      </c>
      <c r="M102" s="98" t="str">
        <f>+M30</f>
        <v>Mois</v>
      </c>
      <c r="N102" s="98" t="str">
        <f>+N30</f>
        <v>Jrs acquis en arrêt de maladie (2 jrs par mois)</v>
      </c>
      <c r="P102" s="98" t="str">
        <f>+P30</f>
        <v>80% des Salaires nets correspondants à l'arrêt de maladie</v>
      </c>
      <c r="AY102" s="27" t="s">
        <v>101</v>
      </c>
      <c r="AZ102" s="27" t="s">
        <v>87</v>
      </c>
      <c r="BA102" s="27" t="s">
        <v>104</v>
      </c>
      <c r="BB102" s="27" t="s">
        <v>102</v>
      </c>
      <c r="BC102" s="164" t="s">
        <v>87</v>
      </c>
      <c r="BD102" s="27" t="s">
        <v>104</v>
      </c>
      <c r="BE102" s="27" t="s">
        <v>102</v>
      </c>
      <c r="BF102" s="27" t="s">
        <v>87</v>
      </c>
      <c r="BG102" s="27" t="s">
        <v>104</v>
      </c>
      <c r="BH102" s="27" t="s">
        <v>102</v>
      </c>
      <c r="BI102" s="27" t="s">
        <v>87</v>
      </c>
      <c r="BJ102" s="27" t="s">
        <v>104</v>
      </c>
      <c r="BK102" s="27" t="s">
        <v>102</v>
      </c>
      <c r="BL102" s="27" t="s">
        <v>87</v>
      </c>
      <c r="BM102" s="27" t="s">
        <v>104</v>
      </c>
      <c r="BN102" s="27" t="s">
        <v>102</v>
      </c>
      <c r="BO102" s="27" t="s">
        <v>87</v>
      </c>
      <c r="BP102" s="27" t="s">
        <v>104</v>
      </c>
      <c r="BQ102" s="27" t="s">
        <v>102</v>
      </c>
      <c r="BR102" s="27" t="s">
        <v>105</v>
      </c>
      <c r="CO102" s="108" t="s">
        <v>77</v>
      </c>
    </row>
    <row r="103" spans="1:94" s="8" customFormat="1" ht="13.5" customHeight="1" x14ac:dyDescent="0.2">
      <c r="A103" s="36">
        <f>EDATE(A96,1)</f>
        <v>46174</v>
      </c>
      <c r="B103" s="1">
        <f>IF($B$96="","",IF(EDATE($B$96,1)&lt;=$D$17,EDATE($B$96,1),""))</f>
        <v>46174</v>
      </c>
      <c r="C103" s="88" t="str">
        <f>+IF(B103="","","Juin"&amp;" "&amp;YEAR(B103))</f>
        <v>Juin 2026</v>
      </c>
      <c r="D103" s="198"/>
      <c r="E103" s="199"/>
      <c r="F103" s="112">
        <f>IF(E103&gt;=0.1,G103/26,0)</f>
        <v>0</v>
      </c>
      <c r="G103" s="112">
        <f>+IF(H103="",G96,H103)</f>
        <v>750</v>
      </c>
      <c r="H103" s="200"/>
      <c r="J103" s="200"/>
      <c r="K103" s="201"/>
      <c r="M103" s="88" t="str">
        <f t="shared" ref="M103:M114" si="121">+C103</f>
        <v>Juin 2026</v>
      </c>
      <c r="N103" s="198"/>
      <c r="P103" s="200"/>
      <c r="AY103" s="185">
        <f>IF(E103&gt;=0.1,G103/26,0)</f>
        <v>0</v>
      </c>
      <c r="AZ103" s="169">
        <f>IF($E103&gt;=0.1,+MIN($E103,$D$45-$BA96),0)</f>
        <v>0</v>
      </c>
      <c r="BA103" s="169">
        <f>+AZ103+BA96</f>
        <v>24</v>
      </c>
      <c r="BB103" s="171">
        <f>+AZ103*$AY103</f>
        <v>0</v>
      </c>
      <c r="BC103" s="176">
        <f>IF($E103&gt;=0.1,MIN($E103-$AZ103,$D$63-$BD96),0)</f>
        <v>0</v>
      </c>
      <c r="BD103" s="169">
        <f>+BC103+BD96</f>
        <v>30</v>
      </c>
      <c r="BE103" s="175">
        <f>+BC103*$AY103</f>
        <v>0</v>
      </c>
      <c r="BF103" s="176">
        <f>IF($E103&gt;=0.1,MIN($E103-$AZ103-$BC103,$D$81-$BG96),0)</f>
        <v>0</v>
      </c>
      <c r="BG103" s="169">
        <f>+BF103+BG96</f>
        <v>0</v>
      </c>
      <c r="BH103" s="175">
        <f>+BF103*$AY103</f>
        <v>0</v>
      </c>
      <c r="BI103" s="176">
        <f>IF($E103&gt;=0.1,MIN($E103-$AZ103-$BC103-$BF103,$D$99-$BJ96),0)</f>
        <v>0</v>
      </c>
      <c r="BJ103" s="169">
        <f>+BI103+BJ96</f>
        <v>0</v>
      </c>
      <c r="BK103" s="175">
        <f>+BI103*$AY103</f>
        <v>0</v>
      </c>
      <c r="BL103" s="176">
        <f>IF($E103&gt;=0.1,MIN($E103-$AZ103-$BC103-$BF103-$BI103,$D$117-$BM96),0)</f>
        <v>0</v>
      </c>
      <c r="BM103" s="169">
        <f>+BL103+BM96</f>
        <v>0</v>
      </c>
      <c r="BN103" s="175">
        <f>+BL103*$AY103</f>
        <v>0</v>
      </c>
      <c r="BO103" s="176">
        <f>IF($E103&gt;=0.1,MIN($E103-$AZ103-$BC103-$BF103-$BI103-$BL103,$D$136-$BP96),0)</f>
        <v>0</v>
      </c>
      <c r="BP103" s="169">
        <f>+BO103+BP96</f>
        <v>0</v>
      </c>
      <c r="BQ103" s="175">
        <f>+BO103*$AY103</f>
        <v>0</v>
      </c>
      <c r="BR103" s="181">
        <f>+BO103+BL103+BI103+BF103+BC103+AZ103</f>
        <v>0</v>
      </c>
      <c r="CO103" s="8" t="str">
        <f t="shared" ref="CO103:CO114" si="122">IF(B103="","NON",+IF(AND(DATE(YEAR(B103),MONTH(B103),1)&gt;=DATE(YEAR($D$15),MONTH($D$15),1),DATE(YEAR(B103),MONTH(B103),1)&lt;=DATE(YEAR($D$17),MONTH($D$17),1)),"OUI","NON"))</f>
        <v>OUI</v>
      </c>
    </row>
    <row r="104" spans="1:94" s="8" customFormat="1" ht="13.5" customHeight="1" x14ac:dyDescent="0.2">
      <c r="A104" s="36">
        <f>EDATE(A103,1)</f>
        <v>46204</v>
      </c>
      <c r="B104" s="1">
        <f>IF($B$103="","",IF(EDATE($B$103,1)&lt;=$D$17,EDATE($B$103,1),""))</f>
        <v>46204</v>
      </c>
      <c r="C104" s="88" t="str">
        <f>+IF(B104="","","Juillet"&amp;" "&amp;YEAR(B104))</f>
        <v>Juillet 2026</v>
      </c>
      <c r="D104" s="198"/>
      <c r="E104" s="199"/>
      <c r="F104" s="112">
        <f t="shared" ref="F104:F114" si="123">IF(E104&gt;=0.1,G104/26,0)</f>
        <v>0</v>
      </c>
      <c r="G104" s="112">
        <f>+IF(H104="",G103,H104)</f>
        <v>750</v>
      </c>
      <c r="H104" s="200"/>
      <c r="J104" s="200"/>
      <c r="K104" s="201"/>
      <c r="M104" s="88" t="str">
        <f t="shared" si="121"/>
        <v>Juillet 2026</v>
      </c>
      <c r="N104" s="198"/>
      <c r="P104" s="200"/>
      <c r="AY104" s="167">
        <f t="shared" ref="AY104:AY114" si="124">IF(E104&gt;=0.1,G104/26,0)</f>
        <v>0</v>
      </c>
      <c r="AZ104" s="169">
        <f t="shared" ref="AZ104:AZ114" si="125">IF($E104&gt;=0.1,+MIN($E104,$D$45-$BA103),0)</f>
        <v>0</v>
      </c>
      <c r="BA104" s="169">
        <f>+BA103+AZ104</f>
        <v>24</v>
      </c>
      <c r="BB104" s="171">
        <f t="shared" ref="BB104:BB114" si="126">+AZ104*$AY104</f>
        <v>0</v>
      </c>
      <c r="BC104" s="176">
        <f t="shared" ref="BC104:BC108" si="127">IF($E104&gt;=0.1,MIN($E104-$AZ104,$D$63-$BD103),0)</f>
        <v>0</v>
      </c>
      <c r="BD104" s="169">
        <f>+BD103+BC104</f>
        <v>30</v>
      </c>
      <c r="BE104" s="177">
        <f t="shared" ref="BE104:BE114" si="128">+BC104*$AY104</f>
        <v>0</v>
      </c>
      <c r="BF104" s="176">
        <f>IF($E104&gt;=0.1,MIN($E104-$AZ104-$BC104,$D$81-$BG103),0)</f>
        <v>0</v>
      </c>
      <c r="BG104" s="169">
        <f>+BG103+BF104</f>
        <v>0</v>
      </c>
      <c r="BH104" s="177">
        <f t="shared" ref="BH104:BH114" si="129">+BF104*$AY104</f>
        <v>0</v>
      </c>
      <c r="BI104" s="176">
        <f>IF($E104&gt;=0.1,MIN($E104-$AZ104-$BC104-$BF104,$D$99-$BJ103),0)</f>
        <v>0</v>
      </c>
      <c r="BJ104" s="169">
        <f>+BJ103+BI104</f>
        <v>0</v>
      </c>
      <c r="BK104" s="177">
        <f t="shared" ref="BK104:BK114" si="130">+BI104*$AY104</f>
        <v>0</v>
      </c>
      <c r="BL104" s="176">
        <f>IF($E104&gt;=0.1,MIN($E104-$AZ104-$BC104-$BF104-$BI104,$D$117-$BM103),0)</f>
        <v>0</v>
      </c>
      <c r="BM104" s="169">
        <f>+BM103+BL104</f>
        <v>0</v>
      </c>
      <c r="BN104" s="177">
        <f t="shared" ref="BN104:BN114" si="131">+BL104*$AY104</f>
        <v>0</v>
      </c>
      <c r="BO104" s="176">
        <f>IF($E104&gt;=0.1,MIN($E104-$AZ104-$BC104-$BF104-$BI104-$BL104,$D$136-$BP103),0)</f>
        <v>0</v>
      </c>
      <c r="BP104" s="169">
        <f>+BP103+BO104</f>
        <v>0</v>
      </c>
      <c r="BQ104" s="177">
        <f t="shared" ref="BQ104:BQ114" si="132">+BO104*$AY104</f>
        <v>0</v>
      </c>
      <c r="BR104" s="182">
        <f t="shared" ref="BR104:BR114" si="133">+BO104+BL104+BI104+BF104+BC104+AZ104</f>
        <v>0</v>
      </c>
      <c r="CO104" s="8" t="str">
        <f t="shared" si="122"/>
        <v>OUI</v>
      </c>
    </row>
    <row r="105" spans="1:94" s="8" customFormat="1" ht="13.5" customHeight="1" x14ac:dyDescent="0.2">
      <c r="A105" s="36">
        <f t="shared" ref="A105:A114" si="134">EDATE(A104,1)</f>
        <v>46235</v>
      </c>
      <c r="B105" s="1">
        <f>IF($B$104="","",IF(EDATE($B$104,1)&lt;=$D$17,EDATE($B$104,1),""))</f>
        <v>46235</v>
      </c>
      <c r="C105" s="88" t="str">
        <f>+IF(B105="","","Aout"&amp;" "&amp;YEAR(B105))</f>
        <v>Aout 2026</v>
      </c>
      <c r="D105" s="198"/>
      <c r="E105" s="199"/>
      <c r="F105" s="112">
        <f t="shared" si="123"/>
        <v>0</v>
      </c>
      <c r="G105" s="112">
        <f t="shared" ref="G105:G114" si="135">+IF(H105="",G104,H105)</f>
        <v>750</v>
      </c>
      <c r="H105" s="200"/>
      <c r="J105" s="200"/>
      <c r="K105" s="201"/>
      <c r="M105" s="88" t="str">
        <f t="shared" si="121"/>
        <v>Aout 2026</v>
      </c>
      <c r="N105" s="198"/>
      <c r="P105" s="200"/>
      <c r="AY105" s="167">
        <f t="shared" si="124"/>
        <v>0</v>
      </c>
      <c r="AZ105" s="169">
        <f t="shared" si="125"/>
        <v>0</v>
      </c>
      <c r="BA105" s="169">
        <f t="shared" ref="BA105:BA114" si="136">+BA104+AZ105</f>
        <v>24</v>
      </c>
      <c r="BB105" s="171">
        <f t="shared" si="126"/>
        <v>0</v>
      </c>
      <c r="BC105" s="176">
        <f t="shared" si="127"/>
        <v>0</v>
      </c>
      <c r="BD105" s="169">
        <f t="shared" ref="BD105:BD114" si="137">+BD104+BC105</f>
        <v>30</v>
      </c>
      <c r="BE105" s="177">
        <f t="shared" si="128"/>
        <v>0</v>
      </c>
      <c r="BF105" s="176">
        <f t="shared" ref="BF105:BF114" si="138">IF($E105&gt;=0.1,MIN($E105-$AZ105-$BC105,$D$81-$BG104),0)</f>
        <v>0</v>
      </c>
      <c r="BG105" s="169">
        <f t="shared" ref="BG105:BG114" si="139">+BG104+BF105</f>
        <v>0</v>
      </c>
      <c r="BH105" s="177">
        <f t="shared" si="129"/>
        <v>0</v>
      </c>
      <c r="BI105" s="176">
        <f t="shared" ref="BI105:BI114" si="140">IF($E105&gt;=0.1,MIN($E105-$AZ105-$BC105-$BF105,$D$99-$BJ104),0)</f>
        <v>0</v>
      </c>
      <c r="BJ105" s="169">
        <f t="shared" ref="BJ105:BJ114" si="141">+BJ104+BI105</f>
        <v>0</v>
      </c>
      <c r="BK105" s="177">
        <f t="shared" si="130"/>
        <v>0</v>
      </c>
      <c r="BL105" s="176">
        <f t="shared" ref="BL105:BL114" si="142">IF($E105&gt;=0.1,MIN($E105-$AZ105-$BC105-$BF105-$BI105,$D$117-$BM104),0)</f>
        <v>0</v>
      </c>
      <c r="BM105" s="169">
        <f t="shared" ref="BM105:BM114" si="143">+BM104+BL105</f>
        <v>0</v>
      </c>
      <c r="BN105" s="177">
        <f t="shared" si="131"/>
        <v>0</v>
      </c>
      <c r="BO105" s="176">
        <f t="shared" ref="BO105:BO114" si="144">IF($E105&gt;=0.1,MIN($E105-$AZ105-$BC105-$BF105-$BI105-$BL105,$D$136-$BP104),0)</f>
        <v>0</v>
      </c>
      <c r="BP105" s="169">
        <f t="shared" ref="BP105:BP114" si="145">+BP104+BO105</f>
        <v>0</v>
      </c>
      <c r="BQ105" s="177">
        <f t="shared" si="132"/>
        <v>0</v>
      </c>
      <c r="BR105" s="182">
        <f t="shared" si="133"/>
        <v>0</v>
      </c>
      <c r="CO105" s="8" t="str">
        <f t="shared" si="122"/>
        <v>OUI</v>
      </c>
    </row>
    <row r="106" spans="1:94" s="8" customFormat="1" ht="13.5" customHeight="1" x14ac:dyDescent="0.2">
      <c r="A106" s="36">
        <f t="shared" si="134"/>
        <v>46266</v>
      </c>
      <c r="B106" s="1">
        <f>IF($B$105="","",IF(EDATE($B$105,1)&lt;=$D$17,EDATE($B$105,1),""))</f>
        <v>46266</v>
      </c>
      <c r="C106" s="88" t="str">
        <f>+IF(B106="","","Septembre"&amp;" "&amp;YEAR(B106))</f>
        <v>Septembre 2026</v>
      </c>
      <c r="D106" s="198"/>
      <c r="E106" s="199"/>
      <c r="F106" s="112">
        <f t="shared" si="123"/>
        <v>0</v>
      </c>
      <c r="G106" s="112">
        <f t="shared" si="135"/>
        <v>750</v>
      </c>
      <c r="H106" s="200"/>
      <c r="J106" s="200"/>
      <c r="K106" s="201"/>
      <c r="M106" s="88" t="str">
        <f t="shared" si="121"/>
        <v>Septembre 2026</v>
      </c>
      <c r="N106" s="198"/>
      <c r="P106" s="200"/>
      <c r="AY106" s="167">
        <f t="shared" si="124"/>
        <v>0</v>
      </c>
      <c r="AZ106" s="169">
        <f t="shared" si="125"/>
        <v>0</v>
      </c>
      <c r="BA106" s="169">
        <f t="shared" si="136"/>
        <v>24</v>
      </c>
      <c r="BB106" s="171">
        <f t="shared" si="126"/>
        <v>0</v>
      </c>
      <c r="BC106" s="176">
        <f t="shared" si="127"/>
        <v>0</v>
      </c>
      <c r="BD106" s="169">
        <f t="shared" si="137"/>
        <v>30</v>
      </c>
      <c r="BE106" s="177">
        <f t="shared" si="128"/>
        <v>0</v>
      </c>
      <c r="BF106" s="176">
        <f t="shared" si="138"/>
        <v>0</v>
      </c>
      <c r="BG106" s="169">
        <f t="shared" si="139"/>
        <v>0</v>
      </c>
      <c r="BH106" s="177">
        <f t="shared" si="129"/>
        <v>0</v>
      </c>
      <c r="BI106" s="176">
        <f t="shared" si="140"/>
        <v>0</v>
      </c>
      <c r="BJ106" s="169">
        <f t="shared" si="141"/>
        <v>0</v>
      </c>
      <c r="BK106" s="177">
        <f t="shared" si="130"/>
        <v>0</v>
      </c>
      <c r="BL106" s="176">
        <f t="shared" si="142"/>
        <v>0</v>
      </c>
      <c r="BM106" s="169">
        <f t="shared" si="143"/>
        <v>0</v>
      </c>
      <c r="BN106" s="177">
        <f t="shared" si="131"/>
        <v>0</v>
      </c>
      <c r="BO106" s="176">
        <f t="shared" si="144"/>
        <v>0</v>
      </c>
      <c r="BP106" s="169">
        <f t="shared" si="145"/>
        <v>0</v>
      </c>
      <c r="BQ106" s="177">
        <f t="shared" si="132"/>
        <v>0</v>
      </c>
      <c r="BR106" s="182">
        <f t="shared" si="133"/>
        <v>0</v>
      </c>
      <c r="CO106" s="8" t="str">
        <f t="shared" si="122"/>
        <v>OUI</v>
      </c>
    </row>
    <row r="107" spans="1:94" s="8" customFormat="1" ht="13.5" customHeight="1" x14ac:dyDescent="0.2">
      <c r="A107" s="36">
        <f t="shared" si="134"/>
        <v>46296</v>
      </c>
      <c r="B107" s="1">
        <f>IF($B$106="","",IF(EDATE($B$106,1)&lt;=$D$17,EDATE($B$106,1),""))</f>
        <v>46296</v>
      </c>
      <c r="C107" s="88" t="str">
        <f>+IF(B107="","","Octobre"&amp;" "&amp;YEAR(B107))</f>
        <v>Octobre 2026</v>
      </c>
      <c r="D107" s="198"/>
      <c r="E107" s="199"/>
      <c r="F107" s="112">
        <f t="shared" si="123"/>
        <v>0</v>
      </c>
      <c r="G107" s="112">
        <f t="shared" si="135"/>
        <v>750</v>
      </c>
      <c r="H107" s="200"/>
      <c r="J107" s="200"/>
      <c r="K107" s="201"/>
      <c r="M107" s="88" t="str">
        <f t="shared" si="121"/>
        <v>Octobre 2026</v>
      </c>
      <c r="N107" s="198"/>
      <c r="P107" s="200"/>
      <c r="AY107" s="167">
        <f t="shared" si="124"/>
        <v>0</v>
      </c>
      <c r="AZ107" s="169">
        <f t="shared" si="125"/>
        <v>0</v>
      </c>
      <c r="BA107" s="169">
        <f t="shared" si="136"/>
        <v>24</v>
      </c>
      <c r="BB107" s="171">
        <f t="shared" si="126"/>
        <v>0</v>
      </c>
      <c r="BC107" s="176">
        <f t="shared" si="127"/>
        <v>0</v>
      </c>
      <c r="BD107" s="169">
        <f t="shared" si="137"/>
        <v>30</v>
      </c>
      <c r="BE107" s="177">
        <f t="shared" si="128"/>
        <v>0</v>
      </c>
      <c r="BF107" s="176">
        <f t="shared" si="138"/>
        <v>0</v>
      </c>
      <c r="BG107" s="169">
        <f t="shared" si="139"/>
        <v>0</v>
      </c>
      <c r="BH107" s="177">
        <f t="shared" si="129"/>
        <v>0</v>
      </c>
      <c r="BI107" s="176">
        <f t="shared" si="140"/>
        <v>0</v>
      </c>
      <c r="BJ107" s="169">
        <f t="shared" si="141"/>
        <v>0</v>
      </c>
      <c r="BK107" s="177">
        <f t="shared" si="130"/>
        <v>0</v>
      </c>
      <c r="BL107" s="176">
        <f t="shared" si="142"/>
        <v>0</v>
      </c>
      <c r="BM107" s="169">
        <f t="shared" si="143"/>
        <v>0</v>
      </c>
      <c r="BN107" s="177">
        <f t="shared" si="131"/>
        <v>0</v>
      </c>
      <c r="BO107" s="176">
        <f t="shared" si="144"/>
        <v>0</v>
      </c>
      <c r="BP107" s="169">
        <f t="shared" si="145"/>
        <v>0</v>
      </c>
      <c r="BQ107" s="177">
        <f t="shared" si="132"/>
        <v>0</v>
      </c>
      <c r="BR107" s="182">
        <f t="shared" si="133"/>
        <v>0</v>
      </c>
      <c r="CO107" s="8" t="str">
        <f t="shared" si="122"/>
        <v>OUI</v>
      </c>
    </row>
    <row r="108" spans="1:94" s="8" customFormat="1" ht="13.5" customHeight="1" x14ac:dyDescent="0.2">
      <c r="A108" s="36">
        <f t="shared" si="134"/>
        <v>46327</v>
      </c>
      <c r="B108" s="1">
        <f>IF($B$107="","",IF(EDATE($B$107,1)&lt;=$D$17,EDATE($B$107,1),""))</f>
        <v>46327</v>
      </c>
      <c r="C108" s="88" t="str">
        <f>+IF(B108="","","Novembre"&amp;" "&amp;YEAR(B108))</f>
        <v>Novembre 2026</v>
      </c>
      <c r="D108" s="198"/>
      <c r="E108" s="199"/>
      <c r="F108" s="112">
        <f t="shared" si="123"/>
        <v>0</v>
      </c>
      <c r="G108" s="112">
        <f t="shared" si="135"/>
        <v>750</v>
      </c>
      <c r="H108" s="200"/>
      <c r="J108" s="200"/>
      <c r="K108" s="201"/>
      <c r="M108" s="88" t="str">
        <f t="shared" si="121"/>
        <v>Novembre 2026</v>
      </c>
      <c r="N108" s="198"/>
      <c r="P108" s="200"/>
      <c r="AY108" s="167">
        <f t="shared" si="124"/>
        <v>0</v>
      </c>
      <c r="AZ108" s="169">
        <f t="shared" si="125"/>
        <v>0</v>
      </c>
      <c r="BA108" s="169">
        <f t="shared" si="136"/>
        <v>24</v>
      </c>
      <c r="BB108" s="171">
        <f t="shared" si="126"/>
        <v>0</v>
      </c>
      <c r="BC108" s="176">
        <f t="shared" si="127"/>
        <v>0</v>
      </c>
      <c r="BD108" s="169">
        <f t="shared" si="137"/>
        <v>30</v>
      </c>
      <c r="BE108" s="177">
        <f t="shared" si="128"/>
        <v>0</v>
      </c>
      <c r="BF108" s="176">
        <f t="shared" si="138"/>
        <v>0</v>
      </c>
      <c r="BG108" s="169">
        <f t="shared" si="139"/>
        <v>0</v>
      </c>
      <c r="BH108" s="177">
        <f t="shared" si="129"/>
        <v>0</v>
      </c>
      <c r="BI108" s="176">
        <f t="shared" si="140"/>
        <v>0</v>
      </c>
      <c r="BJ108" s="169">
        <f t="shared" si="141"/>
        <v>0</v>
      </c>
      <c r="BK108" s="177">
        <f t="shared" si="130"/>
        <v>0</v>
      </c>
      <c r="BL108" s="176">
        <f t="shared" si="142"/>
        <v>0</v>
      </c>
      <c r="BM108" s="169">
        <f t="shared" si="143"/>
        <v>0</v>
      </c>
      <c r="BN108" s="177">
        <f t="shared" si="131"/>
        <v>0</v>
      </c>
      <c r="BO108" s="176">
        <f t="shared" si="144"/>
        <v>0</v>
      </c>
      <c r="BP108" s="169">
        <f t="shared" si="145"/>
        <v>0</v>
      </c>
      <c r="BQ108" s="177">
        <f t="shared" si="132"/>
        <v>0</v>
      </c>
      <c r="BR108" s="182">
        <f t="shared" si="133"/>
        <v>0</v>
      </c>
      <c r="CO108" s="8" t="str">
        <f t="shared" si="122"/>
        <v>OUI</v>
      </c>
    </row>
    <row r="109" spans="1:94" s="8" customFormat="1" ht="13.5" customHeight="1" x14ac:dyDescent="0.2">
      <c r="A109" s="36">
        <f t="shared" si="134"/>
        <v>46357</v>
      </c>
      <c r="B109" s="1">
        <f>IF($B$108="","",IF(EDATE($B$108,1)&lt;=$D$17,EDATE($B$108,1),""))</f>
        <v>46357</v>
      </c>
      <c r="C109" s="88" t="str">
        <f>+IF(B109="","","Décembre"&amp;" "&amp;YEAR(B109))</f>
        <v>Décembre 2026</v>
      </c>
      <c r="D109" s="198"/>
      <c r="E109" s="199"/>
      <c r="F109" s="112">
        <f t="shared" si="123"/>
        <v>0</v>
      </c>
      <c r="G109" s="112">
        <f t="shared" si="135"/>
        <v>750</v>
      </c>
      <c r="H109" s="200"/>
      <c r="J109" s="200"/>
      <c r="K109" s="201"/>
      <c r="M109" s="88" t="str">
        <f t="shared" si="121"/>
        <v>Décembre 2026</v>
      </c>
      <c r="N109" s="198"/>
      <c r="P109" s="200"/>
      <c r="AY109" s="167">
        <f t="shared" si="124"/>
        <v>0</v>
      </c>
      <c r="AZ109" s="169">
        <f t="shared" si="125"/>
        <v>0</v>
      </c>
      <c r="BA109" s="169">
        <f t="shared" si="136"/>
        <v>24</v>
      </c>
      <c r="BB109" s="171">
        <f t="shared" si="126"/>
        <v>0</v>
      </c>
      <c r="BC109" s="176">
        <f>IF($E109&gt;=0.1,MIN($E109-$AZ109,$D$63-$BD108),0)</f>
        <v>0</v>
      </c>
      <c r="BD109" s="169">
        <f t="shared" si="137"/>
        <v>30</v>
      </c>
      <c r="BE109" s="177">
        <f t="shared" si="128"/>
        <v>0</v>
      </c>
      <c r="BF109" s="176">
        <f t="shared" si="138"/>
        <v>0</v>
      </c>
      <c r="BG109" s="169">
        <f t="shared" si="139"/>
        <v>0</v>
      </c>
      <c r="BH109" s="177">
        <f t="shared" si="129"/>
        <v>0</v>
      </c>
      <c r="BI109" s="176">
        <f t="shared" si="140"/>
        <v>0</v>
      </c>
      <c r="BJ109" s="169">
        <f t="shared" si="141"/>
        <v>0</v>
      </c>
      <c r="BK109" s="177">
        <f t="shared" si="130"/>
        <v>0</v>
      </c>
      <c r="BL109" s="176">
        <f t="shared" si="142"/>
        <v>0</v>
      </c>
      <c r="BM109" s="169">
        <f t="shared" si="143"/>
        <v>0</v>
      </c>
      <c r="BN109" s="177">
        <f t="shared" si="131"/>
        <v>0</v>
      </c>
      <c r="BO109" s="176">
        <f t="shared" si="144"/>
        <v>0</v>
      </c>
      <c r="BP109" s="169">
        <f t="shared" si="145"/>
        <v>0</v>
      </c>
      <c r="BQ109" s="177">
        <f t="shared" si="132"/>
        <v>0</v>
      </c>
      <c r="BR109" s="182">
        <f t="shared" si="133"/>
        <v>0</v>
      </c>
      <c r="CO109" s="8" t="str">
        <f t="shared" si="122"/>
        <v>OUI</v>
      </c>
    </row>
    <row r="110" spans="1:94" s="8" customFormat="1" ht="13.5" customHeight="1" x14ac:dyDescent="0.2">
      <c r="A110" s="36">
        <f t="shared" si="134"/>
        <v>46388</v>
      </c>
      <c r="B110" s="1">
        <f>IF($B$109="","",IF(EDATE($B$109,1)&lt;=$D$17,EDATE($B$109,1),""))</f>
        <v>46388</v>
      </c>
      <c r="C110" s="88" t="str">
        <f>+IF(B110="","","Janvier"&amp;" "&amp;YEAR(B110))</f>
        <v>Janvier 2027</v>
      </c>
      <c r="D110" s="198"/>
      <c r="E110" s="199"/>
      <c r="F110" s="112">
        <f t="shared" si="123"/>
        <v>0</v>
      </c>
      <c r="G110" s="112">
        <f t="shared" si="135"/>
        <v>750</v>
      </c>
      <c r="H110" s="200"/>
      <c r="J110" s="200"/>
      <c r="K110" s="201"/>
      <c r="M110" s="88" t="str">
        <f t="shared" si="121"/>
        <v>Janvier 2027</v>
      </c>
      <c r="N110" s="198"/>
      <c r="P110" s="200"/>
      <c r="AY110" s="167">
        <f t="shared" si="124"/>
        <v>0</v>
      </c>
      <c r="AZ110" s="169">
        <f t="shared" si="125"/>
        <v>0</v>
      </c>
      <c r="BA110" s="169">
        <f t="shared" si="136"/>
        <v>24</v>
      </c>
      <c r="BB110" s="171">
        <f t="shared" si="126"/>
        <v>0</v>
      </c>
      <c r="BC110" s="176">
        <f t="shared" ref="BC110:BC114" si="146">IF($E110&gt;=0.1,MIN($E110-$AZ110,$D$63-$BD109),0)</f>
        <v>0</v>
      </c>
      <c r="BD110" s="169">
        <f t="shared" si="137"/>
        <v>30</v>
      </c>
      <c r="BE110" s="177">
        <f t="shared" si="128"/>
        <v>0</v>
      </c>
      <c r="BF110" s="176">
        <f t="shared" si="138"/>
        <v>0</v>
      </c>
      <c r="BG110" s="169">
        <f t="shared" si="139"/>
        <v>0</v>
      </c>
      <c r="BH110" s="177">
        <f t="shared" si="129"/>
        <v>0</v>
      </c>
      <c r="BI110" s="176">
        <f t="shared" si="140"/>
        <v>0</v>
      </c>
      <c r="BJ110" s="169">
        <f t="shared" si="141"/>
        <v>0</v>
      </c>
      <c r="BK110" s="177">
        <f t="shared" si="130"/>
        <v>0</v>
      </c>
      <c r="BL110" s="176">
        <f t="shared" si="142"/>
        <v>0</v>
      </c>
      <c r="BM110" s="169">
        <f t="shared" si="143"/>
        <v>0</v>
      </c>
      <c r="BN110" s="177">
        <f t="shared" si="131"/>
        <v>0</v>
      </c>
      <c r="BO110" s="176">
        <f t="shared" si="144"/>
        <v>0</v>
      </c>
      <c r="BP110" s="169">
        <f t="shared" si="145"/>
        <v>0</v>
      </c>
      <c r="BQ110" s="177">
        <f t="shared" si="132"/>
        <v>0</v>
      </c>
      <c r="BR110" s="182">
        <f t="shared" si="133"/>
        <v>0</v>
      </c>
      <c r="CO110" s="8" t="str">
        <f t="shared" si="122"/>
        <v>OUI</v>
      </c>
    </row>
    <row r="111" spans="1:94" s="8" customFormat="1" ht="13.5" customHeight="1" x14ac:dyDescent="0.2">
      <c r="A111" s="36">
        <f t="shared" si="134"/>
        <v>46419</v>
      </c>
      <c r="B111" s="1">
        <f>IF($B$110="","",IF(EDATE($B$110,1)&lt;=$D$17,EDATE($B$110,1),""))</f>
        <v>46419</v>
      </c>
      <c r="C111" s="88" t="str">
        <f>+IF(B111="","","Février"&amp;" "&amp;YEAR(B111))</f>
        <v>Février 2027</v>
      </c>
      <c r="D111" s="198"/>
      <c r="E111" s="199"/>
      <c r="F111" s="112">
        <f t="shared" si="123"/>
        <v>0</v>
      </c>
      <c r="G111" s="112">
        <f t="shared" si="135"/>
        <v>750</v>
      </c>
      <c r="H111" s="200"/>
      <c r="J111" s="200"/>
      <c r="K111" s="201"/>
      <c r="M111" s="88" t="str">
        <f t="shared" si="121"/>
        <v>Février 2027</v>
      </c>
      <c r="N111" s="198"/>
      <c r="P111" s="200"/>
      <c r="AY111" s="167">
        <f t="shared" si="124"/>
        <v>0</v>
      </c>
      <c r="AZ111" s="169">
        <f t="shared" si="125"/>
        <v>0</v>
      </c>
      <c r="BA111" s="169">
        <f t="shared" si="136"/>
        <v>24</v>
      </c>
      <c r="BB111" s="171">
        <f t="shared" si="126"/>
        <v>0</v>
      </c>
      <c r="BC111" s="176">
        <f t="shared" si="146"/>
        <v>0</v>
      </c>
      <c r="BD111" s="169">
        <f t="shared" si="137"/>
        <v>30</v>
      </c>
      <c r="BE111" s="177">
        <f t="shared" si="128"/>
        <v>0</v>
      </c>
      <c r="BF111" s="176">
        <f t="shared" si="138"/>
        <v>0</v>
      </c>
      <c r="BG111" s="169">
        <f t="shared" si="139"/>
        <v>0</v>
      </c>
      <c r="BH111" s="177">
        <f t="shared" si="129"/>
        <v>0</v>
      </c>
      <c r="BI111" s="176">
        <f t="shared" si="140"/>
        <v>0</v>
      </c>
      <c r="BJ111" s="169">
        <f t="shared" si="141"/>
        <v>0</v>
      </c>
      <c r="BK111" s="177">
        <f t="shared" si="130"/>
        <v>0</v>
      </c>
      <c r="BL111" s="176">
        <f t="shared" si="142"/>
        <v>0</v>
      </c>
      <c r="BM111" s="169">
        <f t="shared" si="143"/>
        <v>0</v>
      </c>
      <c r="BN111" s="177">
        <f t="shared" si="131"/>
        <v>0</v>
      </c>
      <c r="BO111" s="176">
        <f t="shared" si="144"/>
        <v>0</v>
      </c>
      <c r="BP111" s="169">
        <f t="shared" si="145"/>
        <v>0</v>
      </c>
      <c r="BQ111" s="177">
        <f t="shared" si="132"/>
        <v>0</v>
      </c>
      <c r="BR111" s="182">
        <f t="shared" si="133"/>
        <v>0</v>
      </c>
      <c r="CO111" s="8" t="str">
        <f t="shared" si="122"/>
        <v>OUI</v>
      </c>
    </row>
    <row r="112" spans="1:94" s="8" customFormat="1" ht="13.5" customHeight="1" x14ac:dyDescent="0.2">
      <c r="A112" s="36">
        <f t="shared" si="134"/>
        <v>46447</v>
      </c>
      <c r="B112" s="1">
        <f>IF($B$111="","",IF(EDATE($B$111,1)&lt;=$D$17,EDATE($B$111,1),""))</f>
        <v>46447</v>
      </c>
      <c r="C112" s="88" t="str">
        <f>+IF(B112="","","Mars"&amp;" "&amp;YEAR(B112))</f>
        <v>Mars 2027</v>
      </c>
      <c r="D112" s="198"/>
      <c r="E112" s="199"/>
      <c r="F112" s="112">
        <f t="shared" si="123"/>
        <v>0</v>
      </c>
      <c r="G112" s="112">
        <f t="shared" si="135"/>
        <v>750</v>
      </c>
      <c r="H112" s="200"/>
      <c r="J112" s="200"/>
      <c r="K112" s="201"/>
      <c r="M112" s="88" t="str">
        <f t="shared" si="121"/>
        <v>Mars 2027</v>
      </c>
      <c r="N112" s="198"/>
      <c r="P112" s="200"/>
      <c r="AY112" s="167">
        <f t="shared" si="124"/>
        <v>0</v>
      </c>
      <c r="AZ112" s="169">
        <f t="shared" si="125"/>
        <v>0</v>
      </c>
      <c r="BA112" s="169">
        <f t="shared" si="136"/>
        <v>24</v>
      </c>
      <c r="BB112" s="171">
        <f t="shared" si="126"/>
        <v>0</v>
      </c>
      <c r="BC112" s="176">
        <f t="shared" si="146"/>
        <v>0</v>
      </c>
      <c r="BD112" s="169">
        <f t="shared" si="137"/>
        <v>30</v>
      </c>
      <c r="BE112" s="177">
        <f t="shared" si="128"/>
        <v>0</v>
      </c>
      <c r="BF112" s="176">
        <f t="shared" si="138"/>
        <v>0</v>
      </c>
      <c r="BG112" s="169">
        <f t="shared" si="139"/>
        <v>0</v>
      </c>
      <c r="BH112" s="177">
        <f t="shared" si="129"/>
        <v>0</v>
      </c>
      <c r="BI112" s="176">
        <f t="shared" si="140"/>
        <v>0</v>
      </c>
      <c r="BJ112" s="169">
        <f t="shared" si="141"/>
        <v>0</v>
      </c>
      <c r="BK112" s="177">
        <f t="shared" si="130"/>
        <v>0</v>
      </c>
      <c r="BL112" s="176">
        <f t="shared" si="142"/>
        <v>0</v>
      </c>
      <c r="BM112" s="169">
        <f t="shared" si="143"/>
        <v>0</v>
      </c>
      <c r="BN112" s="177">
        <f t="shared" si="131"/>
        <v>0</v>
      </c>
      <c r="BO112" s="176">
        <f t="shared" si="144"/>
        <v>0</v>
      </c>
      <c r="BP112" s="169">
        <f t="shared" si="145"/>
        <v>0</v>
      </c>
      <c r="BQ112" s="177">
        <f t="shared" si="132"/>
        <v>0</v>
      </c>
      <c r="BR112" s="182">
        <f t="shared" si="133"/>
        <v>0</v>
      </c>
      <c r="CO112" s="8" t="str">
        <f t="shared" si="122"/>
        <v>OUI</v>
      </c>
    </row>
    <row r="113" spans="1:94" s="8" customFormat="1" ht="13.5" customHeight="1" x14ac:dyDescent="0.2">
      <c r="A113" s="36">
        <f t="shared" si="134"/>
        <v>46478</v>
      </c>
      <c r="B113" s="1">
        <f>IF($B$112="","",IF(EDATE($B$112,1)&lt;=$D$17,EDATE($B$112,1),""))</f>
        <v>46478</v>
      </c>
      <c r="C113" s="88" t="str">
        <f>+IF(B113="","","Avril"&amp;" "&amp;YEAR(B113))</f>
        <v>Avril 2027</v>
      </c>
      <c r="D113" s="198"/>
      <c r="E113" s="199"/>
      <c r="F113" s="112">
        <f t="shared" si="123"/>
        <v>0</v>
      </c>
      <c r="G113" s="112">
        <f t="shared" si="135"/>
        <v>750</v>
      </c>
      <c r="H113" s="200"/>
      <c r="J113" s="200"/>
      <c r="K113" s="201"/>
      <c r="M113" s="88" t="str">
        <f t="shared" si="121"/>
        <v>Avril 2027</v>
      </c>
      <c r="N113" s="198"/>
      <c r="P113" s="200"/>
      <c r="AY113" s="167">
        <f t="shared" si="124"/>
        <v>0</v>
      </c>
      <c r="AZ113" s="169">
        <f t="shared" si="125"/>
        <v>0</v>
      </c>
      <c r="BA113" s="169">
        <f t="shared" si="136"/>
        <v>24</v>
      </c>
      <c r="BB113" s="171">
        <f t="shared" si="126"/>
        <v>0</v>
      </c>
      <c r="BC113" s="176">
        <f t="shared" si="146"/>
        <v>0</v>
      </c>
      <c r="BD113" s="169">
        <f t="shared" si="137"/>
        <v>30</v>
      </c>
      <c r="BE113" s="177">
        <f t="shared" si="128"/>
        <v>0</v>
      </c>
      <c r="BF113" s="176">
        <f t="shared" si="138"/>
        <v>0</v>
      </c>
      <c r="BG113" s="169">
        <f t="shared" si="139"/>
        <v>0</v>
      </c>
      <c r="BH113" s="177">
        <f t="shared" si="129"/>
        <v>0</v>
      </c>
      <c r="BI113" s="176">
        <f t="shared" si="140"/>
        <v>0</v>
      </c>
      <c r="BJ113" s="169">
        <f t="shared" si="141"/>
        <v>0</v>
      </c>
      <c r="BK113" s="177">
        <f t="shared" si="130"/>
        <v>0</v>
      </c>
      <c r="BL113" s="176">
        <f t="shared" si="142"/>
        <v>0</v>
      </c>
      <c r="BM113" s="169">
        <f t="shared" si="143"/>
        <v>0</v>
      </c>
      <c r="BN113" s="177">
        <f t="shared" si="131"/>
        <v>0</v>
      </c>
      <c r="BO113" s="176">
        <f t="shared" si="144"/>
        <v>0</v>
      </c>
      <c r="BP113" s="169">
        <f t="shared" si="145"/>
        <v>0</v>
      </c>
      <c r="BQ113" s="177">
        <f t="shared" si="132"/>
        <v>0</v>
      </c>
      <c r="BR113" s="182">
        <f t="shared" si="133"/>
        <v>0</v>
      </c>
      <c r="CO113" s="8" t="str">
        <f t="shared" si="122"/>
        <v>OUI</v>
      </c>
    </row>
    <row r="114" spans="1:94" s="8" customFormat="1" ht="13.5" customHeight="1" x14ac:dyDescent="0.2">
      <c r="A114" s="36">
        <f t="shared" si="134"/>
        <v>46508</v>
      </c>
      <c r="B114" s="1">
        <f>IF($B$113="","",IF(EDATE($B$113,1)&lt;=$D$17,EDATE($B$113,1),""))</f>
        <v>46508</v>
      </c>
      <c r="C114" s="88" t="str">
        <f>+IF(B114="","","Mai"&amp;" "&amp;YEAR(B114))</f>
        <v>Mai 2027</v>
      </c>
      <c r="D114" s="198"/>
      <c r="E114" s="199"/>
      <c r="F114" s="112">
        <f t="shared" si="123"/>
        <v>0</v>
      </c>
      <c r="G114" s="112">
        <f t="shared" si="135"/>
        <v>750</v>
      </c>
      <c r="H114" s="200"/>
      <c r="J114" s="200"/>
      <c r="K114" s="201"/>
      <c r="M114" s="88" t="str">
        <f t="shared" si="121"/>
        <v>Mai 2027</v>
      </c>
      <c r="N114" s="198"/>
      <c r="P114" s="200"/>
      <c r="AY114" s="168">
        <f t="shared" si="124"/>
        <v>0</v>
      </c>
      <c r="AZ114" s="170">
        <f t="shared" si="125"/>
        <v>0</v>
      </c>
      <c r="BA114" s="170">
        <f t="shared" si="136"/>
        <v>24</v>
      </c>
      <c r="BB114" s="172">
        <f t="shared" si="126"/>
        <v>0</v>
      </c>
      <c r="BC114" s="178">
        <f t="shared" si="146"/>
        <v>0</v>
      </c>
      <c r="BD114" s="170">
        <f t="shared" si="137"/>
        <v>30</v>
      </c>
      <c r="BE114" s="179">
        <f t="shared" si="128"/>
        <v>0</v>
      </c>
      <c r="BF114" s="178">
        <f t="shared" si="138"/>
        <v>0</v>
      </c>
      <c r="BG114" s="170">
        <f t="shared" si="139"/>
        <v>0</v>
      </c>
      <c r="BH114" s="179">
        <f t="shared" si="129"/>
        <v>0</v>
      </c>
      <c r="BI114" s="178">
        <f t="shared" si="140"/>
        <v>0</v>
      </c>
      <c r="BJ114" s="170">
        <f t="shared" si="141"/>
        <v>0</v>
      </c>
      <c r="BK114" s="179">
        <f t="shared" si="130"/>
        <v>0</v>
      </c>
      <c r="BL114" s="178">
        <f t="shared" si="142"/>
        <v>0</v>
      </c>
      <c r="BM114" s="170">
        <f t="shared" si="143"/>
        <v>0</v>
      </c>
      <c r="BN114" s="179">
        <f t="shared" si="131"/>
        <v>0</v>
      </c>
      <c r="BO114" s="178">
        <f t="shared" si="144"/>
        <v>0</v>
      </c>
      <c r="BP114" s="170">
        <f t="shared" si="145"/>
        <v>0</v>
      </c>
      <c r="BQ114" s="179">
        <f t="shared" si="132"/>
        <v>0</v>
      </c>
      <c r="BR114" s="183">
        <f t="shared" si="133"/>
        <v>0</v>
      </c>
      <c r="CO114" s="8" t="str">
        <f t="shared" si="122"/>
        <v>OUI</v>
      </c>
      <c r="CP114" s="8" t="s">
        <v>81</v>
      </c>
    </row>
    <row r="115" spans="1:94" s="8" customFormat="1" ht="13.5" customHeight="1" x14ac:dyDescent="0.2">
      <c r="A115" s="4"/>
      <c r="B115" s="6"/>
      <c r="C115" s="38" t="s">
        <v>82</v>
      </c>
      <c r="D115" s="39">
        <f>+N117</f>
        <v>0</v>
      </c>
      <c r="F115" s="125"/>
      <c r="G115" s="125"/>
      <c r="J115" s="40">
        <f>+P117</f>
        <v>0</v>
      </c>
      <c r="BR115" s="166"/>
    </row>
    <row r="116" spans="1:94" s="8" customFormat="1" ht="12.75" x14ac:dyDescent="0.2">
      <c r="A116" s="4"/>
      <c r="B116" s="6"/>
      <c r="C116" s="41" t="s">
        <v>83</v>
      </c>
      <c r="D116" s="202"/>
      <c r="E116" s="43"/>
      <c r="F116" s="125"/>
      <c r="G116" s="125"/>
      <c r="J116" s="116"/>
      <c r="K116" s="134"/>
      <c r="BB116" s="173">
        <f>SUM(BB103:BB114)</f>
        <v>0</v>
      </c>
      <c r="BE116" s="173">
        <f>SUM(BE103:BE114)</f>
        <v>0</v>
      </c>
      <c r="BH116" s="173">
        <f>SUM(BH103:BH114)</f>
        <v>0</v>
      </c>
      <c r="BK116" s="173">
        <f>SUM(BK103:BK114)</f>
        <v>0</v>
      </c>
      <c r="BN116" s="173">
        <f>SUM(BN103:BN114)</f>
        <v>0</v>
      </c>
      <c r="BQ116" s="173">
        <f>SUM(BQ103:BQ114)</f>
        <v>0</v>
      </c>
      <c r="BR116" s="184">
        <f>SUM(BR103:BR115)</f>
        <v>0</v>
      </c>
      <c r="CP116" s="8" t="str">
        <f>+IF(C121="","NON","OUI")</f>
        <v>OUI</v>
      </c>
    </row>
    <row r="117" spans="1:94" s="8" customFormat="1" ht="40.5" customHeight="1" x14ac:dyDescent="0.2">
      <c r="A117" s="36"/>
      <c r="B117" s="1"/>
      <c r="C117" s="157" t="s">
        <v>84</v>
      </c>
      <c r="D117" s="155">
        <f>MIN(ROUNDUP(SUM(D103:D116),0),30)</f>
        <v>0</v>
      </c>
      <c r="E117" s="165">
        <f>SUM(E103:E114)</f>
        <v>0</v>
      </c>
      <c r="F117" s="204" t="str">
        <f>+IF($E$139&gt;$D$139,"TROP DE JOURS pris par rapport aux jours acquis ou aux jours en cours d'acquisition","")</f>
        <v/>
      </c>
      <c r="G117" s="205"/>
      <c r="H117" s="205"/>
      <c r="J117" s="135">
        <f>SUM(J103:J116)</f>
        <v>0</v>
      </c>
      <c r="K117" s="118" t="e">
        <f>"Valeur d'un jour ouvrable de CP en 10% = "&amp;ROUND(J117,2)&amp;" € / "&amp;ROUNDUP(SUM(D103:D114),0)&amp;" jrs X 0,10 = "&amp;ROUND(J117/(ROUNDUP(SUM(D103:D114),0))*0.1,2)&amp;" €"</f>
        <v>#DIV/0!</v>
      </c>
      <c r="N117" s="39">
        <f>SUM(N103:N114)</f>
        <v>0</v>
      </c>
      <c r="P117" s="48">
        <f>SUM(P103:P114)</f>
        <v>0</v>
      </c>
    </row>
    <row r="118" spans="1:94" s="8" customFormat="1" ht="30.75" hidden="1" customHeight="1" x14ac:dyDescent="0.2">
      <c r="A118" s="36"/>
      <c r="B118" s="1"/>
      <c r="C118" s="156" t="s">
        <v>85</v>
      </c>
      <c r="D118" s="153">
        <f>+D100+D117</f>
        <v>84</v>
      </c>
      <c r="E118" s="154">
        <f>+E117+E100</f>
        <v>54</v>
      </c>
      <c r="J118" s="52">
        <f>+J100+J117</f>
        <v>22896.574615384619</v>
      </c>
      <c r="K118" s="114"/>
      <c r="L118" s="9"/>
    </row>
    <row r="119" spans="1:94" s="8" customFormat="1" ht="53.25" customHeight="1" x14ac:dyDescent="0.2">
      <c r="A119" s="36"/>
      <c r="B119" s="1"/>
      <c r="C119" s="58"/>
      <c r="D119" s="59"/>
      <c r="E119" s="60"/>
      <c r="J119" s="61"/>
      <c r="K119" s="114"/>
      <c r="L119" s="2"/>
      <c r="AZ119" s="206" t="str">
        <f>+AZ101</f>
        <v>Période : 
Septembre 2022 à Mai 2023</v>
      </c>
      <c r="BA119" s="206"/>
      <c r="BB119" s="206"/>
      <c r="BC119" s="206" t="str">
        <f>+BC101</f>
        <v>Période : 
Juin 2023 à Mai 2024</v>
      </c>
      <c r="BD119" s="206"/>
      <c r="BE119" s="206"/>
      <c r="BF119" s="206" t="str">
        <f t="shared" ref="BF119" si="147">+BF101</f>
        <v>Période de : 
Juin 2024 à Mai 2025</v>
      </c>
      <c r="BG119" s="206"/>
      <c r="BH119" s="206"/>
      <c r="BI119" s="206" t="str">
        <f t="shared" ref="BI119" si="148">+BI101</f>
        <v>Période de : 
Juin 2025 à Mai 2026</v>
      </c>
      <c r="BJ119" s="206"/>
      <c r="BK119" s="206"/>
      <c r="BL119" s="206" t="str">
        <f t="shared" ref="BL119" si="149">+BL101</f>
        <v>Période de : 
Juin 2026 à Mai 2027</v>
      </c>
      <c r="BM119" s="206"/>
      <c r="BN119" s="206"/>
      <c r="BO119" s="206" t="str">
        <f t="shared" ref="BO119" si="150">+BO101</f>
        <v>Période de : 
Juin 2027 à Mai 2028</v>
      </c>
      <c r="BP119" s="206"/>
      <c r="BQ119" s="206"/>
    </row>
    <row r="120" spans="1:94" s="8" customFormat="1" ht="63.75" x14ac:dyDescent="0.2">
      <c r="A120" s="4"/>
      <c r="B120" s="6"/>
      <c r="C120" s="27" t="str">
        <f>"Période de : "&amp;CHAR(10)&amp;PROPER(+TEXT(B121,"mmmm"))&amp;" "&amp;YEAR(B121)&amp;" à "&amp;IF(D17&gt;=B132,C132,PROPER(+TEXT(D17,"mmmm"))&amp;" "&amp;YEAR(D17))</f>
        <v>Période de : 
Juin 2027 à Mai 2028</v>
      </c>
      <c r="D120" s="27" t="str">
        <f>+D102</f>
        <v>Jours acquis dans l'année</v>
      </c>
      <c r="E120" s="28" t="s">
        <v>87</v>
      </c>
      <c r="F120" s="28" t="s">
        <v>103</v>
      </c>
      <c r="G120" s="27" t="s">
        <v>94</v>
      </c>
      <c r="H120" s="27" t="s">
        <v>90</v>
      </c>
      <c r="I120" s="105"/>
      <c r="J120" s="27" t="str">
        <f>+J102</f>
        <v>Salaires nets de l'année (hors indemnités)</v>
      </c>
      <c r="K120" s="27" t="s">
        <v>74</v>
      </c>
      <c r="M120" s="98" t="str">
        <f>+M102</f>
        <v>Mois</v>
      </c>
      <c r="N120" s="98" t="str">
        <f>+N102</f>
        <v>Jrs acquis en arrêt de maladie (2 jrs par mois)</v>
      </c>
      <c r="P120" s="98" t="str">
        <f>+P102</f>
        <v>80% des Salaires nets correspondants à l'arrêt de maladie</v>
      </c>
      <c r="AY120" s="27" t="s">
        <v>101</v>
      </c>
      <c r="AZ120" s="27" t="s">
        <v>87</v>
      </c>
      <c r="BA120" s="27" t="s">
        <v>104</v>
      </c>
      <c r="BB120" s="27" t="s">
        <v>102</v>
      </c>
      <c r="BC120" s="164" t="s">
        <v>87</v>
      </c>
      <c r="BD120" s="27" t="s">
        <v>104</v>
      </c>
      <c r="BE120" s="27" t="s">
        <v>102</v>
      </c>
      <c r="BF120" s="27" t="s">
        <v>87</v>
      </c>
      <c r="BG120" s="27" t="s">
        <v>104</v>
      </c>
      <c r="BH120" s="27" t="s">
        <v>102</v>
      </c>
      <c r="BI120" s="27" t="s">
        <v>87</v>
      </c>
      <c r="BJ120" s="27" t="s">
        <v>104</v>
      </c>
      <c r="BK120" s="27" t="s">
        <v>102</v>
      </c>
      <c r="BL120" s="27" t="s">
        <v>87</v>
      </c>
      <c r="BM120" s="27" t="s">
        <v>104</v>
      </c>
      <c r="BN120" s="27" t="s">
        <v>102</v>
      </c>
      <c r="BO120" s="27" t="s">
        <v>87</v>
      </c>
      <c r="BP120" s="27" t="s">
        <v>104</v>
      </c>
      <c r="BQ120" s="27" t="s">
        <v>102</v>
      </c>
      <c r="BR120" s="27" t="s">
        <v>105</v>
      </c>
      <c r="CO120" s="108" t="s">
        <v>77</v>
      </c>
    </row>
    <row r="121" spans="1:94" s="8" customFormat="1" ht="13.5" customHeight="1" x14ac:dyDescent="0.2">
      <c r="A121" s="36">
        <f>EDATE(A114,1)</f>
        <v>46539</v>
      </c>
      <c r="B121" s="1">
        <f>IF($B$114="","",IF(EDATE($B$114,1)&lt;=$D$17,EDATE($B$114,1),""))</f>
        <v>46539</v>
      </c>
      <c r="C121" s="88" t="str">
        <f>+IF(B121="","","Juin"&amp;" "&amp;YEAR(B121))</f>
        <v>Juin 2027</v>
      </c>
      <c r="D121" s="198"/>
      <c r="E121" s="199"/>
      <c r="F121" s="112">
        <f>IF(E121&gt;=0.1,G121/26,0)</f>
        <v>0</v>
      </c>
      <c r="G121" s="112">
        <f>+IF(H121="",G114,H121)</f>
        <v>750</v>
      </c>
      <c r="H121" s="200"/>
      <c r="J121" s="200"/>
      <c r="K121" s="201"/>
      <c r="M121" s="88" t="str">
        <f t="shared" ref="M121:M132" si="151">+C121</f>
        <v>Juin 2027</v>
      </c>
      <c r="N121" s="198"/>
      <c r="P121" s="200"/>
      <c r="AY121" s="185">
        <f>IF(E121&gt;=0.1,G121/26,0)</f>
        <v>0</v>
      </c>
      <c r="AZ121" s="169">
        <f>IF($E121&gt;=0.1,+MIN($E121,$D$45-$BA114),0)</f>
        <v>0</v>
      </c>
      <c r="BA121" s="169">
        <f>+AZ121+BA114</f>
        <v>24</v>
      </c>
      <c r="BB121" s="171">
        <f>+AZ121*$AY121</f>
        <v>0</v>
      </c>
      <c r="BC121" s="176">
        <f>IF($E121&gt;=0.1,MIN($E121-$AZ121,$D$63-$BD114),0)</f>
        <v>0</v>
      </c>
      <c r="BD121" s="169">
        <f>+BC121+BD114</f>
        <v>30</v>
      </c>
      <c r="BE121" s="175">
        <f>+BC121*$AY121</f>
        <v>0</v>
      </c>
      <c r="BF121" s="176">
        <f>IF($E121&gt;=0.1,MIN($E121-$AZ121-$BC121,$D$81-$BG114),0)</f>
        <v>0</v>
      </c>
      <c r="BG121" s="169">
        <f>+BF121+BG114</f>
        <v>0</v>
      </c>
      <c r="BH121" s="175">
        <f>+BF121*$AY121</f>
        <v>0</v>
      </c>
      <c r="BI121" s="176">
        <f>IF($E121&gt;=0.1,MIN($E121-$AZ121-$BC121-$BF121,$D$99-$BJ114),0)</f>
        <v>0</v>
      </c>
      <c r="BJ121" s="169">
        <f>+BI121+BJ114</f>
        <v>0</v>
      </c>
      <c r="BK121" s="175">
        <f>+BI121*$AY121</f>
        <v>0</v>
      </c>
      <c r="BL121" s="176">
        <f>IF($E121&gt;=0.1,MIN($E121-$AZ121-$BC121-$BF121-$BI121,$D$117-$BM114),0)</f>
        <v>0</v>
      </c>
      <c r="BM121" s="169">
        <f>+BL121+BM114</f>
        <v>0</v>
      </c>
      <c r="BN121" s="175">
        <f>+BL121*$AY121</f>
        <v>0</v>
      </c>
      <c r="BO121" s="176">
        <f>IF($E121&gt;=0.1,MIN($E121-$AZ121-$BC121-$BF121-$BI121-$BL121,$D$136-$BP114),0)</f>
        <v>0</v>
      </c>
      <c r="BP121" s="169">
        <f>+BO121+BP114</f>
        <v>0</v>
      </c>
      <c r="BQ121" s="175">
        <f>+BO121*$AY121</f>
        <v>0</v>
      </c>
      <c r="BR121" s="181">
        <f>+BO121+BL121+BI121+BF121+BC121+AZ121</f>
        <v>0</v>
      </c>
      <c r="CO121" s="8" t="str">
        <f t="shared" ref="CO121:CO132" si="152">IF(B121="","NON",+IF(AND(DATE(YEAR(B121),MONTH(B121),1)&gt;=DATE(YEAR($D$15),MONTH($D$15),1),DATE(YEAR(B121),MONTH(B121),1)&lt;=DATE(YEAR($D$17),MONTH($D$17),1)),"OUI","NON"))</f>
        <v>OUI</v>
      </c>
    </row>
    <row r="122" spans="1:94" s="8" customFormat="1" ht="13.5" customHeight="1" x14ac:dyDescent="0.2">
      <c r="A122" s="36">
        <f>EDATE(A121,1)</f>
        <v>46569</v>
      </c>
      <c r="B122" s="1">
        <f>IF($B$121="","",IF(EDATE($B$121,1)&lt;=$D$17,EDATE($B$121,1),""))</f>
        <v>46569</v>
      </c>
      <c r="C122" s="88" t="str">
        <f>+IF(B122="","","Juillet"&amp;" "&amp;YEAR(B122))</f>
        <v>Juillet 2027</v>
      </c>
      <c r="D122" s="198"/>
      <c r="E122" s="199"/>
      <c r="F122" s="112">
        <f t="shared" ref="F122:F132" si="153">IF(E122&gt;=0.1,G122/26,0)</f>
        <v>0</v>
      </c>
      <c r="G122" s="112">
        <f>+IF(H122="",G121,H122)</f>
        <v>750</v>
      </c>
      <c r="H122" s="200"/>
      <c r="J122" s="200"/>
      <c r="K122" s="201"/>
      <c r="M122" s="88" t="str">
        <f t="shared" si="151"/>
        <v>Juillet 2027</v>
      </c>
      <c r="N122" s="198"/>
      <c r="P122" s="200"/>
      <c r="AY122" s="167">
        <f t="shared" ref="AY122:AY132" si="154">IF(E122&gt;=0.1,G122/26,0)</f>
        <v>0</v>
      </c>
      <c r="AZ122" s="169">
        <f t="shared" ref="AZ122:AZ132" si="155">IF($E122&gt;=0.1,+MIN($E122,$D$45-$BA121),0)</f>
        <v>0</v>
      </c>
      <c r="BA122" s="169">
        <f>+BA121+AZ122</f>
        <v>24</v>
      </c>
      <c r="BB122" s="171">
        <f t="shared" ref="BB122:BB132" si="156">+AZ122*$AY122</f>
        <v>0</v>
      </c>
      <c r="BC122" s="176">
        <f t="shared" ref="BC122:BC126" si="157">IF($E122&gt;=0.1,MIN($E122-$AZ122,$D$63-$BD121),0)</f>
        <v>0</v>
      </c>
      <c r="BD122" s="169">
        <f>+BD121+BC122</f>
        <v>30</v>
      </c>
      <c r="BE122" s="177">
        <f t="shared" ref="BE122:BE132" si="158">+BC122*$AY122</f>
        <v>0</v>
      </c>
      <c r="BF122" s="176">
        <f>IF($E122&gt;=0.1,MIN($E122-$AZ122-$BC122,$D$81-$BG121),0)</f>
        <v>0</v>
      </c>
      <c r="BG122" s="169">
        <f>+BG121+BF122</f>
        <v>0</v>
      </c>
      <c r="BH122" s="177">
        <f t="shared" ref="BH122:BH132" si="159">+BF122*$AY122</f>
        <v>0</v>
      </c>
      <c r="BI122" s="176">
        <f>IF($E122&gt;=0.1,MIN($E122-$AZ122-$BC122-$BF122,$D$99-$BJ121),0)</f>
        <v>0</v>
      </c>
      <c r="BJ122" s="169">
        <f>+BJ121+BI122</f>
        <v>0</v>
      </c>
      <c r="BK122" s="177">
        <f t="shared" ref="BK122:BK132" si="160">+BI122*$AY122</f>
        <v>0</v>
      </c>
      <c r="BL122" s="176">
        <f>IF($E122&gt;=0.1,MIN($E122-$AZ122-$BC122-$BF122-$BI122,$D$117-$BM121),0)</f>
        <v>0</v>
      </c>
      <c r="BM122" s="169">
        <f>+BM121+BL122</f>
        <v>0</v>
      </c>
      <c r="BN122" s="177">
        <f t="shared" ref="BN122:BN132" si="161">+BL122*$AY122</f>
        <v>0</v>
      </c>
      <c r="BO122" s="176">
        <f>IF($E122&gt;=0.1,MIN($E122-$AZ122-$BC122-$BF122-$BI122-$BL122,$D$136-$BP121),0)</f>
        <v>0</v>
      </c>
      <c r="BP122" s="169">
        <f>+BP121+BO122</f>
        <v>0</v>
      </c>
      <c r="BQ122" s="177">
        <f t="shared" ref="BQ122:BQ132" si="162">+BO122*$AY122</f>
        <v>0</v>
      </c>
      <c r="BR122" s="182">
        <f t="shared" ref="BR122:BR132" si="163">+BO122+BL122+BI122+BF122+BC122+AZ122</f>
        <v>0</v>
      </c>
      <c r="CO122" s="8" t="str">
        <f t="shared" si="152"/>
        <v>OUI</v>
      </c>
    </row>
    <row r="123" spans="1:94" s="8" customFormat="1" ht="13.5" customHeight="1" x14ac:dyDescent="0.2">
      <c r="A123" s="36">
        <f t="shared" ref="A123:A132" si="164">EDATE(A122,1)</f>
        <v>46600</v>
      </c>
      <c r="B123" s="1">
        <f>IF($B$122="","",IF(EDATE($B$122,1)&lt;=$D$17,EDATE($B$122,1),""))</f>
        <v>46600</v>
      </c>
      <c r="C123" s="88" t="str">
        <f>+IF(B123="","","Aout"&amp;" "&amp;YEAR(B123))</f>
        <v>Aout 2027</v>
      </c>
      <c r="D123" s="198"/>
      <c r="E123" s="199"/>
      <c r="F123" s="112">
        <f t="shared" si="153"/>
        <v>0</v>
      </c>
      <c r="G123" s="112">
        <f t="shared" ref="G123:G132" si="165">+IF(H123="",G122,H123)</f>
        <v>750</v>
      </c>
      <c r="H123" s="200"/>
      <c r="J123" s="200"/>
      <c r="K123" s="201"/>
      <c r="M123" s="88" t="str">
        <f t="shared" si="151"/>
        <v>Aout 2027</v>
      </c>
      <c r="N123" s="198"/>
      <c r="P123" s="200"/>
      <c r="AY123" s="167">
        <f t="shared" si="154"/>
        <v>0</v>
      </c>
      <c r="AZ123" s="169">
        <f t="shared" si="155"/>
        <v>0</v>
      </c>
      <c r="BA123" s="169">
        <f t="shared" ref="BA123:BA132" si="166">+BA122+AZ123</f>
        <v>24</v>
      </c>
      <c r="BB123" s="171">
        <f t="shared" si="156"/>
        <v>0</v>
      </c>
      <c r="BC123" s="176">
        <f t="shared" si="157"/>
        <v>0</v>
      </c>
      <c r="BD123" s="169">
        <f t="shared" ref="BD123:BD132" si="167">+BD122+BC123</f>
        <v>30</v>
      </c>
      <c r="BE123" s="177">
        <f t="shared" si="158"/>
        <v>0</v>
      </c>
      <c r="BF123" s="176">
        <f t="shared" ref="BF123:BF132" si="168">IF($E123&gt;=0.1,MIN($E123-$AZ123-$BC123,$D$81-$BG122),0)</f>
        <v>0</v>
      </c>
      <c r="BG123" s="169">
        <f t="shared" ref="BG123:BG132" si="169">+BG122+BF123</f>
        <v>0</v>
      </c>
      <c r="BH123" s="177">
        <f t="shared" si="159"/>
        <v>0</v>
      </c>
      <c r="BI123" s="176">
        <f t="shared" ref="BI123:BI132" si="170">IF($E123&gt;=0.1,MIN($E123-$AZ123-$BC123-$BF123,$D$99-$BJ122),0)</f>
        <v>0</v>
      </c>
      <c r="BJ123" s="169">
        <f t="shared" ref="BJ123:BJ132" si="171">+BJ122+BI123</f>
        <v>0</v>
      </c>
      <c r="BK123" s="177">
        <f t="shared" si="160"/>
        <v>0</v>
      </c>
      <c r="BL123" s="176">
        <f t="shared" ref="BL123:BL132" si="172">IF($E123&gt;=0.1,MIN($E123-$AZ123-$BC123-$BF123-$BI123,$D$117-$BM122),0)</f>
        <v>0</v>
      </c>
      <c r="BM123" s="169">
        <f t="shared" ref="BM123:BM132" si="173">+BM122+BL123</f>
        <v>0</v>
      </c>
      <c r="BN123" s="177">
        <f t="shared" si="161"/>
        <v>0</v>
      </c>
      <c r="BO123" s="176">
        <f t="shared" ref="BO123:BO132" si="174">IF($E123&gt;=0.1,MIN($E123-$AZ123-$BC123-$BF123-$BI123-$BL123,$D$136-$BP122),0)</f>
        <v>0</v>
      </c>
      <c r="BP123" s="169">
        <f t="shared" ref="BP123:BP132" si="175">+BP122+BO123</f>
        <v>0</v>
      </c>
      <c r="BQ123" s="177">
        <f t="shared" si="162"/>
        <v>0</v>
      </c>
      <c r="BR123" s="182">
        <f t="shared" si="163"/>
        <v>0</v>
      </c>
      <c r="CO123" s="8" t="str">
        <f t="shared" si="152"/>
        <v>OUI</v>
      </c>
    </row>
    <row r="124" spans="1:94" s="8" customFormat="1" ht="13.5" customHeight="1" x14ac:dyDescent="0.2">
      <c r="A124" s="36">
        <f t="shared" si="164"/>
        <v>46631</v>
      </c>
      <c r="B124" s="1">
        <f>IF($B$123="","",IF(EDATE($B$123,1)&lt;=$D$17,EDATE($B$123,1),""))</f>
        <v>46631</v>
      </c>
      <c r="C124" s="88" t="str">
        <f>+IF(B124="","","Septembre"&amp;" "&amp;YEAR(B124))</f>
        <v>Septembre 2027</v>
      </c>
      <c r="D124" s="198"/>
      <c r="E124" s="199"/>
      <c r="F124" s="112">
        <f t="shared" si="153"/>
        <v>0</v>
      </c>
      <c r="G124" s="112">
        <f t="shared" si="165"/>
        <v>750</v>
      </c>
      <c r="H124" s="200"/>
      <c r="J124" s="200"/>
      <c r="K124" s="201"/>
      <c r="M124" s="88" t="str">
        <f t="shared" si="151"/>
        <v>Septembre 2027</v>
      </c>
      <c r="N124" s="198"/>
      <c r="P124" s="200"/>
      <c r="AY124" s="167">
        <f t="shared" si="154"/>
        <v>0</v>
      </c>
      <c r="AZ124" s="169">
        <f t="shared" si="155"/>
        <v>0</v>
      </c>
      <c r="BA124" s="169">
        <f t="shared" si="166"/>
        <v>24</v>
      </c>
      <c r="BB124" s="171">
        <f t="shared" si="156"/>
        <v>0</v>
      </c>
      <c r="BC124" s="176">
        <f t="shared" si="157"/>
        <v>0</v>
      </c>
      <c r="BD124" s="169">
        <f t="shared" si="167"/>
        <v>30</v>
      </c>
      <c r="BE124" s="177">
        <f t="shared" si="158"/>
        <v>0</v>
      </c>
      <c r="BF124" s="176">
        <f t="shared" si="168"/>
        <v>0</v>
      </c>
      <c r="BG124" s="169">
        <f t="shared" si="169"/>
        <v>0</v>
      </c>
      <c r="BH124" s="177">
        <f t="shared" si="159"/>
        <v>0</v>
      </c>
      <c r="BI124" s="176">
        <f t="shared" si="170"/>
        <v>0</v>
      </c>
      <c r="BJ124" s="169">
        <f t="shared" si="171"/>
        <v>0</v>
      </c>
      <c r="BK124" s="177">
        <f t="shared" si="160"/>
        <v>0</v>
      </c>
      <c r="BL124" s="176">
        <f t="shared" si="172"/>
        <v>0</v>
      </c>
      <c r="BM124" s="169">
        <f t="shared" si="173"/>
        <v>0</v>
      </c>
      <c r="BN124" s="177">
        <f t="shared" si="161"/>
        <v>0</v>
      </c>
      <c r="BO124" s="176">
        <f t="shared" si="174"/>
        <v>0</v>
      </c>
      <c r="BP124" s="169">
        <f t="shared" si="175"/>
        <v>0</v>
      </c>
      <c r="BQ124" s="177">
        <f t="shared" si="162"/>
        <v>0</v>
      </c>
      <c r="BR124" s="182">
        <f t="shared" si="163"/>
        <v>0</v>
      </c>
      <c r="CO124" s="8" t="str">
        <f t="shared" si="152"/>
        <v>OUI</v>
      </c>
    </row>
    <row r="125" spans="1:94" s="8" customFormat="1" ht="13.5" customHeight="1" x14ac:dyDescent="0.2">
      <c r="A125" s="36">
        <f t="shared" si="164"/>
        <v>46661</v>
      </c>
      <c r="B125" s="1">
        <f>IF($B$124="","",IF(EDATE($B$124,1)&lt;=$D$17,EDATE($B$124,1),""))</f>
        <v>46661</v>
      </c>
      <c r="C125" s="88" t="str">
        <f>+IF(B125="","","Octobre"&amp;" "&amp;YEAR(B125))</f>
        <v>Octobre 2027</v>
      </c>
      <c r="D125" s="198"/>
      <c r="E125" s="199"/>
      <c r="F125" s="112">
        <f t="shared" si="153"/>
        <v>0</v>
      </c>
      <c r="G125" s="112">
        <f t="shared" si="165"/>
        <v>750</v>
      </c>
      <c r="H125" s="200"/>
      <c r="J125" s="200"/>
      <c r="K125" s="201"/>
      <c r="M125" s="88" t="str">
        <f t="shared" si="151"/>
        <v>Octobre 2027</v>
      </c>
      <c r="N125" s="198"/>
      <c r="P125" s="200"/>
      <c r="AY125" s="167">
        <f t="shared" si="154"/>
        <v>0</v>
      </c>
      <c r="AZ125" s="169">
        <f t="shared" si="155"/>
        <v>0</v>
      </c>
      <c r="BA125" s="169">
        <f t="shared" si="166"/>
        <v>24</v>
      </c>
      <c r="BB125" s="171">
        <f t="shared" si="156"/>
        <v>0</v>
      </c>
      <c r="BC125" s="176">
        <f t="shared" si="157"/>
        <v>0</v>
      </c>
      <c r="BD125" s="169">
        <f t="shared" si="167"/>
        <v>30</v>
      </c>
      <c r="BE125" s="177">
        <f t="shared" si="158"/>
        <v>0</v>
      </c>
      <c r="BF125" s="176">
        <f t="shared" si="168"/>
        <v>0</v>
      </c>
      <c r="BG125" s="169">
        <f t="shared" si="169"/>
        <v>0</v>
      </c>
      <c r="BH125" s="177">
        <f t="shared" si="159"/>
        <v>0</v>
      </c>
      <c r="BI125" s="176">
        <f t="shared" si="170"/>
        <v>0</v>
      </c>
      <c r="BJ125" s="169">
        <f t="shared" si="171"/>
        <v>0</v>
      </c>
      <c r="BK125" s="177">
        <f t="shared" si="160"/>
        <v>0</v>
      </c>
      <c r="BL125" s="176">
        <f t="shared" si="172"/>
        <v>0</v>
      </c>
      <c r="BM125" s="169">
        <f t="shared" si="173"/>
        <v>0</v>
      </c>
      <c r="BN125" s="177">
        <f t="shared" si="161"/>
        <v>0</v>
      </c>
      <c r="BO125" s="176">
        <f t="shared" si="174"/>
        <v>0</v>
      </c>
      <c r="BP125" s="169">
        <f t="shared" si="175"/>
        <v>0</v>
      </c>
      <c r="BQ125" s="177">
        <f t="shared" si="162"/>
        <v>0</v>
      </c>
      <c r="BR125" s="182">
        <f t="shared" si="163"/>
        <v>0</v>
      </c>
      <c r="CO125" s="8" t="str">
        <f t="shared" si="152"/>
        <v>OUI</v>
      </c>
    </row>
    <row r="126" spans="1:94" s="8" customFormat="1" ht="13.5" customHeight="1" x14ac:dyDescent="0.2">
      <c r="A126" s="36">
        <f t="shared" si="164"/>
        <v>46692</v>
      </c>
      <c r="B126" s="1">
        <f>IF($B$125="","",IF(EDATE($B$125,1)&lt;=$D$17,EDATE($B$125,1),""))</f>
        <v>46692</v>
      </c>
      <c r="C126" s="88" t="str">
        <f>+IF(B126="","","Novembre"&amp;" "&amp;YEAR(B126))</f>
        <v>Novembre 2027</v>
      </c>
      <c r="D126" s="198"/>
      <c r="E126" s="199"/>
      <c r="F126" s="112">
        <f t="shared" si="153"/>
        <v>0</v>
      </c>
      <c r="G126" s="112">
        <f t="shared" si="165"/>
        <v>750</v>
      </c>
      <c r="H126" s="200"/>
      <c r="J126" s="200"/>
      <c r="K126" s="201"/>
      <c r="M126" s="88" t="str">
        <f t="shared" si="151"/>
        <v>Novembre 2027</v>
      </c>
      <c r="N126" s="198"/>
      <c r="P126" s="200"/>
      <c r="AY126" s="167">
        <f t="shared" si="154"/>
        <v>0</v>
      </c>
      <c r="AZ126" s="169">
        <f t="shared" si="155"/>
        <v>0</v>
      </c>
      <c r="BA126" s="169">
        <f t="shared" si="166"/>
        <v>24</v>
      </c>
      <c r="BB126" s="171">
        <f t="shared" si="156"/>
        <v>0</v>
      </c>
      <c r="BC126" s="176">
        <f t="shared" si="157"/>
        <v>0</v>
      </c>
      <c r="BD126" s="169">
        <f t="shared" si="167"/>
        <v>30</v>
      </c>
      <c r="BE126" s="177">
        <f t="shared" si="158"/>
        <v>0</v>
      </c>
      <c r="BF126" s="176">
        <f t="shared" si="168"/>
        <v>0</v>
      </c>
      <c r="BG126" s="169">
        <f t="shared" si="169"/>
        <v>0</v>
      </c>
      <c r="BH126" s="177">
        <f t="shared" si="159"/>
        <v>0</v>
      </c>
      <c r="BI126" s="176">
        <f t="shared" si="170"/>
        <v>0</v>
      </c>
      <c r="BJ126" s="169">
        <f t="shared" si="171"/>
        <v>0</v>
      </c>
      <c r="BK126" s="177">
        <f t="shared" si="160"/>
        <v>0</v>
      </c>
      <c r="BL126" s="176">
        <f t="shared" si="172"/>
        <v>0</v>
      </c>
      <c r="BM126" s="169">
        <f t="shared" si="173"/>
        <v>0</v>
      </c>
      <c r="BN126" s="177">
        <f t="shared" si="161"/>
        <v>0</v>
      </c>
      <c r="BO126" s="176">
        <f t="shared" si="174"/>
        <v>0</v>
      </c>
      <c r="BP126" s="169">
        <f t="shared" si="175"/>
        <v>0</v>
      </c>
      <c r="BQ126" s="177">
        <f t="shared" si="162"/>
        <v>0</v>
      </c>
      <c r="BR126" s="182">
        <f t="shared" si="163"/>
        <v>0</v>
      </c>
      <c r="CO126" s="8" t="str">
        <f t="shared" si="152"/>
        <v>OUI</v>
      </c>
    </row>
    <row r="127" spans="1:94" s="8" customFormat="1" ht="13.5" customHeight="1" x14ac:dyDescent="0.2">
      <c r="A127" s="36">
        <f t="shared" si="164"/>
        <v>46722</v>
      </c>
      <c r="B127" s="1">
        <f>IF($B$126="","",IF(EDATE($B$126,1)&lt;=$D$17,EDATE($B$126,1),""))</f>
        <v>46722</v>
      </c>
      <c r="C127" s="88" t="str">
        <f>+IF(B127="","","Décembre"&amp;" "&amp;YEAR(B127))</f>
        <v>Décembre 2027</v>
      </c>
      <c r="D127" s="198"/>
      <c r="E127" s="199"/>
      <c r="F127" s="112">
        <f t="shared" si="153"/>
        <v>0</v>
      </c>
      <c r="G127" s="112">
        <f t="shared" si="165"/>
        <v>750</v>
      </c>
      <c r="H127" s="200"/>
      <c r="J127" s="200"/>
      <c r="K127" s="201"/>
      <c r="M127" s="88" t="str">
        <f t="shared" si="151"/>
        <v>Décembre 2027</v>
      </c>
      <c r="N127" s="198"/>
      <c r="P127" s="200"/>
      <c r="AY127" s="167">
        <f t="shared" si="154"/>
        <v>0</v>
      </c>
      <c r="AZ127" s="169">
        <f t="shared" si="155"/>
        <v>0</v>
      </c>
      <c r="BA127" s="169">
        <f t="shared" si="166"/>
        <v>24</v>
      </c>
      <c r="BB127" s="171">
        <f t="shared" si="156"/>
        <v>0</v>
      </c>
      <c r="BC127" s="176">
        <f>IF($E127&gt;=0.1,MIN($E127-$AZ127,$D$63-$BD126),0)</f>
        <v>0</v>
      </c>
      <c r="BD127" s="169">
        <f t="shared" si="167"/>
        <v>30</v>
      </c>
      <c r="BE127" s="177">
        <f t="shared" si="158"/>
        <v>0</v>
      </c>
      <c r="BF127" s="176">
        <f t="shared" si="168"/>
        <v>0</v>
      </c>
      <c r="BG127" s="169">
        <f t="shared" si="169"/>
        <v>0</v>
      </c>
      <c r="BH127" s="177">
        <f t="shared" si="159"/>
        <v>0</v>
      </c>
      <c r="BI127" s="176">
        <f t="shared" si="170"/>
        <v>0</v>
      </c>
      <c r="BJ127" s="169">
        <f t="shared" si="171"/>
        <v>0</v>
      </c>
      <c r="BK127" s="177">
        <f t="shared" si="160"/>
        <v>0</v>
      </c>
      <c r="BL127" s="176">
        <f t="shared" si="172"/>
        <v>0</v>
      </c>
      <c r="BM127" s="169">
        <f t="shared" si="173"/>
        <v>0</v>
      </c>
      <c r="BN127" s="177">
        <f t="shared" si="161"/>
        <v>0</v>
      </c>
      <c r="BO127" s="176">
        <f t="shared" si="174"/>
        <v>0</v>
      </c>
      <c r="BP127" s="169">
        <f t="shared" si="175"/>
        <v>0</v>
      </c>
      <c r="BQ127" s="177">
        <f t="shared" si="162"/>
        <v>0</v>
      </c>
      <c r="BR127" s="182">
        <f t="shared" si="163"/>
        <v>0</v>
      </c>
      <c r="CO127" s="8" t="str">
        <f t="shared" si="152"/>
        <v>OUI</v>
      </c>
    </row>
    <row r="128" spans="1:94" s="8" customFormat="1" ht="13.5" customHeight="1" x14ac:dyDescent="0.2">
      <c r="A128" s="36">
        <f t="shared" si="164"/>
        <v>46753</v>
      </c>
      <c r="B128" s="1">
        <f>IF($B$127="","",IF(EDATE($B$127,1)&lt;=$D$17,EDATE($B$127,1),""))</f>
        <v>46753</v>
      </c>
      <c r="C128" s="88" t="str">
        <f>+IF(B128="","","Janvier"&amp;" "&amp;YEAR(B128))</f>
        <v>Janvier 2028</v>
      </c>
      <c r="D128" s="198"/>
      <c r="E128" s="199"/>
      <c r="F128" s="112">
        <f t="shared" si="153"/>
        <v>0</v>
      </c>
      <c r="G128" s="112">
        <f t="shared" si="165"/>
        <v>750</v>
      </c>
      <c r="H128" s="200"/>
      <c r="J128" s="200"/>
      <c r="K128" s="201"/>
      <c r="M128" s="88" t="str">
        <f t="shared" si="151"/>
        <v>Janvier 2028</v>
      </c>
      <c r="N128" s="198"/>
      <c r="P128" s="200"/>
      <c r="AY128" s="167">
        <f t="shared" si="154"/>
        <v>0</v>
      </c>
      <c r="AZ128" s="169">
        <f t="shared" si="155"/>
        <v>0</v>
      </c>
      <c r="BA128" s="169">
        <f t="shared" si="166"/>
        <v>24</v>
      </c>
      <c r="BB128" s="171">
        <f t="shared" si="156"/>
        <v>0</v>
      </c>
      <c r="BC128" s="176">
        <f t="shared" ref="BC128:BC132" si="176">IF($E128&gt;=0.1,MIN($E128-$AZ128,$D$63-$BD127),0)</f>
        <v>0</v>
      </c>
      <c r="BD128" s="169">
        <f t="shared" si="167"/>
        <v>30</v>
      </c>
      <c r="BE128" s="177">
        <f t="shared" si="158"/>
        <v>0</v>
      </c>
      <c r="BF128" s="176">
        <f t="shared" si="168"/>
        <v>0</v>
      </c>
      <c r="BG128" s="169">
        <f t="shared" si="169"/>
        <v>0</v>
      </c>
      <c r="BH128" s="177">
        <f t="shared" si="159"/>
        <v>0</v>
      </c>
      <c r="BI128" s="176">
        <f t="shared" si="170"/>
        <v>0</v>
      </c>
      <c r="BJ128" s="169">
        <f t="shared" si="171"/>
        <v>0</v>
      </c>
      <c r="BK128" s="177">
        <f t="shared" si="160"/>
        <v>0</v>
      </c>
      <c r="BL128" s="176">
        <f t="shared" si="172"/>
        <v>0</v>
      </c>
      <c r="BM128" s="169">
        <f t="shared" si="173"/>
        <v>0</v>
      </c>
      <c r="BN128" s="177">
        <f t="shared" si="161"/>
        <v>0</v>
      </c>
      <c r="BO128" s="176">
        <f t="shared" si="174"/>
        <v>0</v>
      </c>
      <c r="BP128" s="169">
        <f t="shared" si="175"/>
        <v>0</v>
      </c>
      <c r="BQ128" s="177">
        <f t="shared" si="162"/>
        <v>0</v>
      </c>
      <c r="BR128" s="182">
        <f t="shared" si="163"/>
        <v>0</v>
      </c>
      <c r="CO128" s="8" t="str">
        <f t="shared" si="152"/>
        <v>OUI</v>
      </c>
    </row>
    <row r="129" spans="1:93" s="8" customFormat="1" ht="13.5" customHeight="1" x14ac:dyDescent="0.2">
      <c r="A129" s="36">
        <f t="shared" si="164"/>
        <v>46784</v>
      </c>
      <c r="B129" s="1">
        <f>IF($B$128="","",IF(EDATE($B$128,1)&lt;=$D$17,EDATE($B$128,1),""))</f>
        <v>46784</v>
      </c>
      <c r="C129" s="88" t="str">
        <f>+IF(B129="","","Février"&amp;" "&amp;YEAR(B129))</f>
        <v>Février 2028</v>
      </c>
      <c r="D129" s="198"/>
      <c r="E129" s="199"/>
      <c r="F129" s="112">
        <f t="shared" si="153"/>
        <v>0</v>
      </c>
      <c r="G129" s="112">
        <f t="shared" si="165"/>
        <v>750</v>
      </c>
      <c r="H129" s="200"/>
      <c r="J129" s="200"/>
      <c r="K129" s="201"/>
      <c r="M129" s="88" t="str">
        <f t="shared" si="151"/>
        <v>Février 2028</v>
      </c>
      <c r="N129" s="198"/>
      <c r="P129" s="200"/>
      <c r="AY129" s="167">
        <f t="shared" si="154"/>
        <v>0</v>
      </c>
      <c r="AZ129" s="169">
        <f t="shared" si="155"/>
        <v>0</v>
      </c>
      <c r="BA129" s="169">
        <f t="shared" si="166"/>
        <v>24</v>
      </c>
      <c r="BB129" s="171">
        <f t="shared" si="156"/>
        <v>0</v>
      </c>
      <c r="BC129" s="176">
        <f t="shared" si="176"/>
        <v>0</v>
      </c>
      <c r="BD129" s="169">
        <f t="shared" si="167"/>
        <v>30</v>
      </c>
      <c r="BE129" s="177">
        <f t="shared" si="158"/>
        <v>0</v>
      </c>
      <c r="BF129" s="176">
        <f t="shared" si="168"/>
        <v>0</v>
      </c>
      <c r="BG129" s="169">
        <f t="shared" si="169"/>
        <v>0</v>
      </c>
      <c r="BH129" s="177">
        <f t="shared" si="159"/>
        <v>0</v>
      </c>
      <c r="BI129" s="176">
        <f t="shared" si="170"/>
        <v>0</v>
      </c>
      <c r="BJ129" s="169">
        <f t="shared" si="171"/>
        <v>0</v>
      </c>
      <c r="BK129" s="177">
        <f t="shared" si="160"/>
        <v>0</v>
      </c>
      <c r="BL129" s="176">
        <f t="shared" si="172"/>
        <v>0</v>
      </c>
      <c r="BM129" s="169">
        <f t="shared" si="173"/>
        <v>0</v>
      </c>
      <c r="BN129" s="177">
        <f t="shared" si="161"/>
        <v>0</v>
      </c>
      <c r="BO129" s="176">
        <f t="shared" si="174"/>
        <v>0</v>
      </c>
      <c r="BP129" s="169">
        <f t="shared" si="175"/>
        <v>0</v>
      </c>
      <c r="BQ129" s="177">
        <f t="shared" si="162"/>
        <v>0</v>
      </c>
      <c r="BR129" s="182">
        <f t="shared" si="163"/>
        <v>0</v>
      </c>
      <c r="CO129" s="8" t="str">
        <f t="shared" si="152"/>
        <v>OUI</v>
      </c>
    </row>
    <row r="130" spans="1:93" s="8" customFormat="1" ht="13.5" customHeight="1" x14ac:dyDescent="0.2">
      <c r="A130" s="36">
        <f t="shared" si="164"/>
        <v>46813</v>
      </c>
      <c r="B130" s="1">
        <f>IF($B$129="","",IF(EDATE($B$129,1)&lt;=$D$17,EDATE($B$129,1),""))</f>
        <v>46813</v>
      </c>
      <c r="C130" s="88" t="str">
        <f>+IF(B130="","","Mars"&amp;" "&amp;YEAR(B130))</f>
        <v>Mars 2028</v>
      </c>
      <c r="D130" s="198"/>
      <c r="E130" s="199"/>
      <c r="F130" s="112">
        <f t="shared" si="153"/>
        <v>0</v>
      </c>
      <c r="G130" s="112">
        <f t="shared" si="165"/>
        <v>750</v>
      </c>
      <c r="H130" s="200"/>
      <c r="J130" s="200"/>
      <c r="K130" s="201"/>
      <c r="M130" s="88" t="str">
        <f t="shared" si="151"/>
        <v>Mars 2028</v>
      </c>
      <c r="N130" s="198"/>
      <c r="P130" s="200"/>
      <c r="AY130" s="167">
        <f t="shared" si="154"/>
        <v>0</v>
      </c>
      <c r="AZ130" s="169">
        <f t="shared" si="155"/>
        <v>0</v>
      </c>
      <c r="BA130" s="169">
        <f t="shared" si="166"/>
        <v>24</v>
      </c>
      <c r="BB130" s="171">
        <f t="shared" si="156"/>
        <v>0</v>
      </c>
      <c r="BC130" s="176">
        <f t="shared" si="176"/>
        <v>0</v>
      </c>
      <c r="BD130" s="169">
        <f t="shared" si="167"/>
        <v>30</v>
      </c>
      <c r="BE130" s="177">
        <f t="shared" si="158"/>
        <v>0</v>
      </c>
      <c r="BF130" s="176">
        <f t="shared" si="168"/>
        <v>0</v>
      </c>
      <c r="BG130" s="169">
        <f t="shared" si="169"/>
        <v>0</v>
      </c>
      <c r="BH130" s="177">
        <f t="shared" si="159"/>
        <v>0</v>
      </c>
      <c r="BI130" s="176">
        <f t="shared" si="170"/>
        <v>0</v>
      </c>
      <c r="BJ130" s="169">
        <f t="shared" si="171"/>
        <v>0</v>
      </c>
      <c r="BK130" s="177">
        <f t="shared" si="160"/>
        <v>0</v>
      </c>
      <c r="BL130" s="176">
        <f t="shared" si="172"/>
        <v>0</v>
      </c>
      <c r="BM130" s="169">
        <f t="shared" si="173"/>
        <v>0</v>
      </c>
      <c r="BN130" s="177">
        <f t="shared" si="161"/>
        <v>0</v>
      </c>
      <c r="BO130" s="176">
        <f t="shared" si="174"/>
        <v>0</v>
      </c>
      <c r="BP130" s="169">
        <f t="shared" si="175"/>
        <v>0</v>
      </c>
      <c r="BQ130" s="177">
        <f t="shared" si="162"/>
        <v>0</v>
      </c>
      <c r="BR130" s="182">
        <f t="shared" si="163"/>
        <v>0</v>
      </c>
      <c r="CO130" s="8" t="str">
        <f t="shared" si="152"/>
        <v>OUI</v>
      </c>
    </row>
    <row r="131" spans="1:93" s="8" customFormat="1" ht="13.5" customHeight="1" x14ac:dyDescent="0.2">
      <c r="A131" s="36">
        <f t="shared" si="164"/>
        <v>46844</v>
      </c>
      <c r="B131" s="1">
        <f>IF($B$130="","",IF(EDATE($B$130,1)&lt;=$D$17,EDATE($B$130,1),""))</f>
        <v>46844</v>
      </c>
      <c r="C131" s="88" t="str">
        <f>+IF(B131="","","Avril"&amp;" "&amp;YEAR(B131))</f>
        <v>Avril 2028</v>
      </c>
      <c r="D131" s="198"/>
      <c r="E131" s="199"/>
      <c r="F131" s="112">
        <f t="shared" si="153"/>
        <v>0</v>
      </c>
      <c r="G131" s="112">
        <f t="shared" si="165"/>
        <v>750</v>
      </c>
      <c r="H131" s="200"/>
      <c r="J131" s="200"/>
      <c r="K131" s="201"/>
      <c r="M131" s="88" t="str">
        <f t="shared" si="151"/>
        <v>Avril 2028</v>
      </c>
      <c r="N131" s="198"/>
      <c r="P131" s="200"/>
      <c r="AY131" s="167">
        <f t="shared" si="154"/>
        <v>0</v>
      </c>
      <c r="AZ131" s="169">
        <f t="shared" si="155"/>
        <v>0</v>
      </c>
      <c r="BA131" s="169">
        <f t="shared" si="166"/>
        <v>24</v>
      </c>
      <c r="BB131" s="171">
        <f t="shared" si="156"/>
        <v>0</v>
      </c>
      <c r="BC131" s="176">
        <f t="shared" si="176"/>
        <v>0</v>
      </c>
      <c r="BD131" s="169">
        <f t="shared" si="167"/>
        <v>30</v>
      </c>
      <c r="BE131" s="177">
        <f t="shared" si="158"/>
        <v>0</v>
      </c>
      <c r="BF131" s="176">
        <f t="shared" si="168"/>
        <v>0</v>
      </c>
      <c r="BG131" s="169">
        <f t="shared" si="169"/>
        <v>0</v>
      </c>
      <c r="BH131" s="177">
        <f t="shared" si="159"/>
        <v>0</v>
      </c>
      <c r="BI131" s="176">
        <f t="shared" si="170"/>
        <v>0</v>
      </c>
      <c r="BJ131" s="169">
        <f t="shared" si="171"/>
        <v>0</v>
      </c>
      <c r="BK131" s="177">
        <f t="shared" si="160"/>
        <v>0</v>
      </c>
      <c r="BL131" s="176">
        <f t="shared" si="172"/>
        <v>0</v>
      </c>
      <c r="BM131" s="169">
        <f t="shared" si="173"/>
        <v>0</v>
      </c>
      <c r="BN131" s="177">
        <f t="shared" si="161"/>
        <v>0</v>
      </c>
      <c r="BO131" s="176">
        <f t="shared" si="174"/>
        <v>0</v>
      </c>
      <c r="BP131" s="169">
        <f t="shared" si="175"/>
        <v>0</v>
      </c>
      <c r="BQ131" s="177">
        <f t="shared" si="162"/>
        <v>0</v>
      </c>
      <c r="BR131" s="182">
        <f t="shared" si="163"/>
        <v>0</v>
      </c>
      <c r="CO131" s="8" t="str">
        <f t="shared" si="152"/>
        <v>OUI</v>
      </c>
    </row>
    <row r="132" spans="1:93" s="8" customFormat="1" ht="13.5" customHeight="1" x14ac:dyDescent="0.2">
      <c r="A132" s="36">
        <f t="shared" si="164"/>
        <v>46874</v>
      </c>
      <c r="B132" s="1">
        <f>IF($B$131="","",IF(EDATE($B$131,1)&lt;=$D$17,EDATE($B$131,1),""))</f>
        <v>46874</v>
      </c>
      <c r="C132" s="88" t="str">
        <f>+IF(B132="","","Mai"&amp;" "&amp;YEAR(B132))</f>
        <v>Mai 2028</v>
      </c>
      <c r="D132" s="198"/>
      <c r="E132" s="199"/>
      <c r="F132" s="112">
        <f t="shared" si="153"/>
        <v>0</v>
      </c>
      <c r="G132" s="112">
        <f t="shared" si="165"/>
        <v>750</v>
      </c>
      <c r="H132" s="200"/>
      <c r="J132" s="200"/>
      <c r="K132" s="201"/>
      <c r="M132" s="88" t="str">
        <f t="shared" si="151"/>
        <v>Mai 2028</v>
      </c>
      <c r="N132" s="198"/>
      <c r="P132" s="200"/>
      <c r="AY132" s="168">
        <f t="shared" si="154"/>
        <v>0</v>
      </c>
      <c r="AZ132" s="170">
        <f t="shared" si="155"/>
        <v>0</v>
      </c>
      <c r="BA132" s="170">
        <f t="shared" si="166"/>
        <v>24</v>
      </c>
      <c r="BB132" s="172">
        <f t="shared" si="156"/>
        <v>0</v>
      </c>
      <c r="BC132" s="178">
        <f t="shared" si="176"/>
        <v>0</v>
      </c>
      <c r="BD132" s="170">
        <f t="shared" si="167"/>
        <v>30</v>
      </c>
      <c r="BE132" s="179">
        <f t="shared" si="158"/>
        <v>0</v>
      </c>
      <c r="BF132" s="178">
        <f t="shared" si="168"/>
        <v>0</v>
      </c>
      <c r="BG132" s="170">
        <f t="shared" si="169"/>
        <v>0</v>
      </c>
      <c r="BH132" s="179">
        <f t="shared" si="159"/>
        <v>0</v>
      </c>
      <c r="BI132" s="178">
        <f t="shared" si="170"/>
        <v>0</v>
      </c>
      <c r="BJ132" s="170">
        <f t="shared" si="171"/>
        <v>0</v>
      </c>
      <c r="BK132" s="179">
        <f t="shared" si="160"/>
        <v>0</v>
      </c>
      <c r="BL132" s="178">
        <f t="shared" si="172"/>
        <v>0</v>
      </c>
      <c r="BM132" s="170">
        <f t="shared" si="173"/>
        <v>0</v>
      </c>
      <c r="BN132" s="179">
        <f t="shared" si="161"/>
        <v>0</v>
      </c>
      <c r="BO132" s="178">
        <f t="shared" si="174"/>
        <v>0</v>
      </c>
      <c r="BP132" s="170">
        <f t="shared" si="175"/>
        <v>0</v>
      </c>
      <c r="BQ132" s="179">
        <f t="shared" si="162"/>
        <v>0</v>
      </c>
      <c r="BR132" s="183">
        <f t="shared" si="163"/>
        <v>0</v>
      </c>
      <c r="CO132" s="8" t="str">
        <f t="shared" si="152"/>
        <v>OUI</v>
      </c>
    </row>
    <row r="133" spans="1:93" s="8" customFormat="1" ht="13.5" customHeight="1" x14ac:dyDescent="0.2">
      <c r="A133" s="4"/>
      <c r="B133" s="6"/>
      <c r="C133" s="38" t="s">
        <v>82</v>
      </c>
      <c r="D133" s="39">
        <f>+N136</f>
        <v>0</v>
      </c>
      <c r="F133" s="125"/>
      <c r="G133" s="125"/>
      <c r="J133" s="40">
        <f>+P136</f>
        <v>0</v>
      </c>
      <c r="BR133" s="166"/>
    </row>
    <row r="134" spans="1:93" s="8" customFormat="1" ht="13.5" customHeight="1" x14ac:dyDescent="0.2">
      <c r="A134" s="4"/>
      <c r="B134" s="6"/>
      <c r="C134" s="41" t="s">
        <v>83</v>
      </c>
      <c r="D134" s="202"/>
      <c r="E134" s="43"/>
      <c r="F134" s="125"/>
      <c r="G134" s="125"/>
      <c r="J134" s="158"/>
      <c r="BB134" s="173">
        <f>SUM(BB121:BB132)</f>
        <v>0</v>
      </c>
      <c r="BE134" s="173">
        <f>SUM(BE121:BE132)</f>
        <v>0</v>
      </c>
      <c r="BH134" s="173">
        <f>SUM(BH121:BH132)</f>
        <v>0</v>
      </c>
      <c r="BK134" s="173">
        <f>SUM(BK121:BK132)</f>
        <v>0</v>
      </c>
      <c r="BN134" s="173">
        <f>SUM(BN121:BN132)</f>
        <v>0</v>
      </c>
      <c r="BQ134" s="173">
        <f>SUM(BQ121:BQ132)</f>
        <v>0</v>
      </c>
      <c r="BR134" s="184">
        <f>SUM(BR121:BR133)</f>
        <v>0</v>
      </c>
    </row>
    <row r="135" spans="1:93" s="8" customFormat="1" ht="12.75" x14ac:dyDescent="0.2">
      <c r="A135" s="4"/>
      <c r="B135" s="6"/>
      <c r="C135" s="75"/>
      <c r="D135" s="76"/>
      <c r="E135" s="43"/>
      <c r="F135" s="125"/>
      <c r="G135" s="125"/>
      <c r="J135" s="116"/>
      <c r="K135" s="134"/>
    </row>
    <row r="136" spans="1:93" s="8" customFormat="1" ht="40.5" customHeight="1" x14ac:dyDescent="0.2">
      <c r="A136" s="36"/>
      <c r="B136" s="1"/>
      <c r="C136" s="157" t="s">
        <v>84</v>
      </c>
      <c r="D136" s="155">
        <f>MIN(ROUNDUP(SUM(D121:D134),0),30)</f>
        <v>0</v>
      </c>
      <c r="E136" s="165">
        <f>SUM(E121:E132)</f>
        <v>0</v>
      </c>
      <c r="F136" s="204" t="str">
        <f>+IF($E$139&gt;$D$139,"TROP DE JOURS pris par rapport aux jours acquis ou aux jours en cours d'acquisition","")</f>
        <v/>
      </c>
      <c r="G136" s="205"/>
      <c r="H136" s="205"/>
      <c r="J136" s="135">
        <f>SUM(J121:J135)</f>
        <v>0</v>
      </c>
      <c r="K136" s="118" t="e">
        <f>"Valeur d'un jour ouvrable de CP en 10% = "&amp;ROUND(J136,2)&amp;" € / "&amp;ROUNDUP(SUM(D122:D133),0)&amp;" jrs X 0,10 = "&amp;ROUND(J136/(ROUNDUP(SUM(D122:D133),0))*0.1,2)&amp;" €"</f>
        <v>#DIV/0!</v>
      </c>
      <c r="N136" s="39">
        <f>SUM(N121:N132)</f>
        <v>0</v>
      </c>
      <c r="P136" s="48">
        <f>SUM(P121:P132)</f>
        <v>0</v>
      </c>
    </row>
    <row r="137" spans="1:93" s="8" customFormat="1" ht="30.75" hidden="1" customHeight="1" x14ac:dyDescent="0.2">
      <c r="A137" s="36"/>
      <c r="B137" s="1"/>
      <c r="C137" s="156" t="s">
        <v>85</v>
      </c>
      <c r="D137" s="153">
        <f>+D118+D136</f>
        <v>84</v>
      </c>
      <c r="E137" s="154">
        <f>+E136+E118</f>
        <v>54</v>
      </c>
      <c r="J137" s="52">
        <f>+J118+J136</f>
        <v>22896.574615384619</v>
      </c>
      <c r="K137" s="114"/>
      <c r="L137" s="9"/>
    </row>
    <row r="138" spans="1:93" s="8" customFormat="1" ht="7.5" customHeight="1" x14ac:dyDescent="0.2">
      <c r="A138" s="36"/>
      <c r="B138" s="1"/>
      <c r="C138" s="58"/>
      <c r="D138" s="59"/>
      <c r="E138" s="60"/>
      <c r="J138" s="61"/>
      <c r="K138" s="114"/>
      <c r="L138" s="9"/>
    </row>
    <row r="139" spans="1:93" s="8" customFormat="1" ht="54.75" customHeight="1" x14ac:dyDescent="0.2">
      <c r="A139" s="36"/>
      <c r="B139" s="1"/>
      <c r="C139" s="160" t="s">
        <v>106</v>
      </c>
      <c r="D139" s="161">
        <f>+D136+D117+D99+D81+D63+D45</f>
        <v>84</v>
      </c>
      <c r="E139" s="186">
        <f>+E136+E117+E99+E81+E63+E45</f>
        <v>54</v>
      </c>
      <c r="K139" s="114"/>
      <c r="L139" s="9"/>
    </row>
    <row r="147" spans="2:2" s="8" customFormat="1" ht="12.75" x14ac:dyDescent="0.2">
      <c r="B147" s="6"/>
    </row>
    <row r="148" spans="2:2" s="8" customFormat="1" ht="12.75" x14ac:dyDescent="0.2">
      <c r="B148" s="6"/>
    </row>
    <row r="149" spans="2:2" s="8" customFormat="1" ht="12.75" x14ac:dyDescent="0.2">
      <c r="B149" s="6"/>
    </row>
    <row r="150" spans="2:2" s="8" customFormat="1" ht="12.75" x14ac:dyDescent="0.2">
      <c r="B150" s="6"/>
    </row>
    <row r="151" spans="2:2" s="8" customFormat="1" ht="12.75" x14ac:dyDescent="0.2">
      <c r="B151" s="6"/>
    </row>
    <row r="152" spans="2:2" s="8" customFormat="1" ht="12.75" x14ac:dyDescent="0.2">
      <c r="B152" s="6"/>
    </row>
    <row r="153" spans="2:2" s="8" customFormat="1" ht="12.75" x14ac:dyDescent="0.2">
      <c r="B153" s="6"/>
    </row>
    <row r="154" spans="2:2" s="8" customFormat="1" ht="12.75" x14ac:dyDescent="0.2">
      <c r="B154" s="6"/>
    </row>
    <row r="155" spans="2:2" s="8" customFormat="1" ht="12.75" x14ac:dyDescent="0.2">
      <c r="B155" s="6"/>
    </row>
    <row r="156" spans="2:2" s="8" customFormat="1" ht="12.75" x14ac:dyDescent="0.2">
      <c r="B156" s="6"/>
    </row>
    <row r="157" spans="2:2" s="8" customFormat="1" ht="12.75" x14ac:dyDescent="0.2">
      <c r="B157" s="6"/>
    </row>
    <row r="158" spans="2:2" s="8" customFormat="1" ht="12.75" x14ac:dyDescent="0.2">
      <c r="B158" s="6"/>
    </row>
    <row r="159" spans="2:2" s="8" customFormat="1" ht="12.75" x14ac:dyDescent="0.2">
      <c r="B159" s="6"/>
    </row>
    <row r="160" spans="2:2" s="8" customFormat="1" ht="12.75" x14ac:dyDescent="0.2">
      <c r="B160" s="6"/>
    </row>
    <row r="161" spans="2:2" s="8" customFormat="1" ht="12.75" x14ac:dyDescent="0.2">
      <c r="B161" s="6"/>
    </row>
    <row r="162" spans="2:2" s="8" customFormat="1" ht="12.75" x14ac:dyDescent="0.2">
      <c r="B162" s="6"/>
    </row>
    <row r="163" spans="2:2" s="8" customFormat="1" ht="12.75" x14ac:dyDescent="0.2">
      <c r="B163" s="6"/>
    </row>
    <row r="164" spans="2:2" s="8" customFormat="1" ht="12.75" x14ac:dyDescent="0.2">
      <c r="B164" s="6"/>
    </row>
    <row r="165" spans="2:2" s="8" customFormat="1" ht="12.75" x14ac:dyDescent="0.2">
      <c r="B165" s="6"/>
    </row>
    <row r="166" spans="2:2" s="8" customFormat="1" ht="12.75" x14ac:dyDescent="0.2">
      <c r="B166" s="6"/>
    </row>
    <row r="167" spans="2:2" s="8" customFormat="1" ht="12.75" x14ac:dyDescent="0.2">
      <c r="B167" s="6"/>
    </row>
    <row r="168" spans="2:2" s="8" customFormat="1" ht="12.75" x14ac:dyDescent="0.2">
      <c r="B168" s="6"/>
    </row>
    <row r="169" spans="2:2" s="8" customFormat="1" ht="12.75" x14ac:dyDescent="0.2">
      <c r="B169" s="6"/>
    </row>
    <row r="170" spans="2:2" s="8" customFormat="1" ht="12.75" x14ac:dyDescent="0.2">
      <c r="B170" s="6"/>
    </row>
    <row r="171" spans="2:2" s="8" customFormat="1" ht="12.75" x14ac:dyDescent="0.2">
      <c r="B171" s="6"/>
    </row>
    <row r="172" spans="2:2" s="8" customFormat="1" ht="12.75" x14ac:dyDescent="0.2">
      <c r="B172" s="6"/>
    </row>
    <row r="173" spans="2:2" s="8" customFormat="1" ht="12.75" x14ac:dyDescent="0.2">
      <c r="B173" s="6"/>
    </row>
    <row r="174" spans="2:2" s="8" customFormat="1" ht="12.75" x14ac:dyDescent="0.2">
      <c r="B174" s="6"/>
    </row>
    <row r="175" spans="2:2" s="8" customFormat="1" ht="12.75" x14ac:dyDescent="0.2">
      <c r="B175" s="6"/>
    </row>
    <row r="176" spans="2:2" s="8" customFormat="1" ht="12.75" x14ac:dyDescent="0.2">
      <c r="B176" s="6"/>
    </row>
    <row r="177" spans="2:2" s="8" customFormat="1" ht="12.75" x14ac:dyDescent="0.2">
      <c r="B177" s="6"/>
    </row>
    <row r="178" spans="2:2" s="8" customFormat="1" ht="12.75" x14ac:dyDescent="0.2">
      <c r="B178" s="6"/>
    </row>
    <row r="179" spans="2:2" s="8" customFormat="1" ht="12.75" x14ac:dyDescent="0.2">
      <c r="B179" s="6"/>
    </row>
    <row r="180" spans="2:2" s="8" customFormat="1" ht="12.75" x14ac:dyDescent="0.2">
      <c r="B180" s="6"/>
    </row>
    <row r="181" spans="2:2" s="8" customFormat="1" ht="12.75" x14ac:dyDescent="0.2">
      <c r="B181" s="6"/>
    </row>
    <row r="182" spans="2:2" s="8" customFormat="1" ht="12.75" x14ac:dyDescent="0.2">
      <c r="B182" s="6"/>
    </row>
    <row r="183" spans="2:2" s="8" customFormat="1" ht="12.75" x14ac:dyDescent="0.2">
      <c r="B183" s="6"/>
    </row>
    <row r="184" spans="2:2" s="8" customFormat="1" ht="12.75" x14ac:dyDescent="0.2">
      <c r="B184" s="6"/>
    </row>
    <row r="185" spans="2:2" s="8" customFormat="1" ht="12.75" x14ac:dyDescent="0.2">
      <c r="B185" s="6"/>
    </row>
    <row r="186" spans="2:2" s="8" customFormat="1" ht="12.75" x14ac:dyDescent="0.2">
      <c r="B186" s="6"/>
    </row>
    <row r="187" spans="2:2" s="8" customFormat="1" ht="12.75" x14ac:dyDescent="0.2">
      <c r="B187" s="6"/>
    </row>
    <row r="188" spans="2:2" s="8" customFormat="1" ht="12.75" x14ac:dyDescent="0.2">
      <c r="B188" s="6"/>
    </row>
    <row r="189" spans="2:2" s="8" customFormat="1" ht="12.75" x14ac:dyDescent="0.2">
      <c r="B189" s="6"/>
    </row>
    <row r="190" spans="2:2" s="8" customFormat="1" ht="12.75" x14ac:dyDescent="0.2">
      <c r="B190" s="6"/>
    </row>
    <row r="191" spans="2:2" s="8" customFormat="1" ht="12.75" x14ac:dyDescent="0.2">
      <c r="B191" s="6"/>
    </row>
    <row r="192" spans="2:2" s="8" customFormat="1" ht="12.75" x14ac:dyDescent="0.2">
      <c r="B192" s="6"/>
    </row>
    <row r="193" spans="2:2" s="8" customFormat="1" ht="12.75" x14ac:dyDescent="0.2">
      <c r="B193" s="6"/>
    </row>
    <row r="194" spans="2:2" s="8" customFormat="1" ht="12.75" x14ac:dyDescent="0.2">
      <c r="B194" s="6"/>
    </row>
    <row r="195" spans="2:2" s="8" customFormat="1" ht="12.75" x14ac:dyDescent="0.2">
      <c r="B195" s="6"/>
    </row>
    <row r="196" spans="2:2" s="8" customFormat="1" ht="12.75" x14ac:dyDescent="0.2">
      <c r="B196" s="6"/>
    </row>
    <row r="197" spans="2:2" s="8" customFormat="1" ht="12.75" x14ac:dyDescent="0.2">
      <c r="B197" s="6"/>
    </row>
    <row r="198" spans="2:2" s="8" customFormat="1" ht="12.75" x14ac:dyDescent="0.2">
      <c r="B198" s="6"/>
    </row>
    <row r="199" spans="2:2" s="8" customFormat="1" ht="12.75" x14ac:dyDescent="0.2">
      <c r="B199" s="6"/>
    </row>
    <row r="200" spans="2:2" s="8" customFormat="1" ht="12.75" x14ac:dyDescent="0.2">
      <c r="B200" s="6"/>
    </row>
    <row r="201" spans="2:2" s="8" customFormat="1" ht="12.75" x14ac:dyDescent="0.2">
      <c r="B201" s="6"/>
    </row>
    <row r="202" spans="2:2" s="8" customFormat="1" ht="12.75" x14ac:dyDescent="0.2">
      <c r="B202" s="6"/>
    </row>
    <row r="203" spans="2:2" s="8" customFormat="1" ht="12.75" x14ac:dyDescent="0.2">
      <c r="B203" s="6"/>
    </row>
    <row r="204" spans="2:2" s="8" customFormat="1" ht="12.75" x14ac:dyDescent="0.2">
      <c r="B204" s="6"/>
    </row>
    <row r="205" spans="2:2" s="8" customFormat="1" ht="12.75" x14ac:dyDescent="0.2">
      <c r="B205" s="6"/>
    </row>
    <row r="206" spans="2:2" s="8" customFormat="1" ht="12.75" x14ac:dyDescent="0.2">
      <c r="B206" s="6"/>
    </row>
    <row r="207" spans="2:2" s="8" customFormat="1" ht="12.75" x14ac:dyDescent="0.2">
      <c r="B207" s="6"/>
    </row>
    <row r="208" spans="2:2" s="8" customFormat="1" ht="12.75" x14ac:dyDescent="0.2">
      <c r="B208" s="6"/>
    </row>
    <row r="209" spans="2:2" s="8" customFormat="1" ht="12.75" x14ac:dyDescent="0.2">
      <c r="B209" s="6"/>
    </row>
    <row r="210" spans="2:2" s="8" customFormat="1" ht="12.75" x14ac:dyDescent="0.2">
      <c r="B210" s="6"/>
    </row>
    <row r="211" spans="2:2" s="8" customFormat="1" ht="12.75" x14ac:dyDescent="0.2">
      <c r="B211" s="6"/>
    </row>
    <row r="212" spans="2:2" s="8" customFormat="1" ht="12.75" x14ac:dyDescent="0.2">
      <c r="B212" s="6"/>
    </row>
    <row r="213" spans="2:2" s="8" customFormat="1" ht="12.75" x14ac:dyDescent="0.2">
      <c r="B213" s="6"/>
    </row>
    <row r="214" spans="2:2" s="8" customFormat="1" ht="12.75" x14ac:dyDescent="0.2">
      <c r="B214" s="6"/>
    </row>
    <row r="215" spans="2:2" s="8" customFormat="1" ht="12.75" x14ac:dyDescent="0.2">
      <c r="B215" s="6"/>
    </row>
    <row r="216" spans="2:2" s="8" customFormat="1" ht="12.75" x14ac:dyDescent="0.2">
      <c r="B216" s="6"/>
    </row>
    <row r="217" spans="2:2" s="8" customFormat="1" ht="12.75" x14ac:dyDescent="0.2">
      <c r="B217" s="6"/>
    </row>
    <row r="218" spans="2:2" s="8" customFormat="1" ht="12.75" x14ac:dyDescent="0.2">
      <c r="B218" s="6"/>
    </row>
    <row r="219" spans="2:2" s="8" customFormat="1" ht="12.75" x14ac:dyDescent="0.2">
      <c r="B219" s="6"/>
    </row>
  </sheetData>
  <sheetProtection algorithmName="SHA-512" hashValue="bGOlPAFbXgmq4uat5jfUsaJ6+106Yar9eno+XAaRzSULyGCvMKRJhx7/y36uOFq4LXcsL18K53ZE+faoxKsaTQ==" saltValue="oCPldUKmZUm5K00DR/buMA==" spinCount="100000" sheet="1" objects="1" scenarios="1" formatCells="0" formatColumns="0" formatRows="0" insertColumns="0" insertRows="0" insertHyperlinks="0" sort="0" autoFilter="0" pivotTables="0"/>
  <mergeCells count="58">
    <mergeCell ref="BF65:BH65"/>
    <mergeCell ref="BI65:BK65"/>
    <mergeCell ref="BL65:BN65"/>
    <mergeCell ref="BO65:BQ65"/>
    <mergeCell ref="BL29:BN29"/>
    <mergeCell ref="BO29:BQ29"/>
    <mergeCell ref="BO47:BQ47"/>
    <mergeCell ref="BC47:BE47"/>
    <mergeCell ref="BF47:BH47"/>
    <mergeCell ref="BI47:BK47"/>
    <mergeCell ref="BL47:BN47"/>
    <mergeCell ref="BC29:BE29"/>
    <mergeCell ref="BF29:BH29"/>
    <mergeCell ref="BI29:BK29"/>
    <mergeCell ref="F28:G28"/>
    <mergeCell ref="C1:K1"/>
    <mergeCell ref="C24:D24"/>
    <mergeCell ref="C25:D25"/>
    <mergeCell ref="C13:D13"/>
    <mergeCell ref="F13:H13"/>
    <mergeCell ref="C2:I2"/>
    <mergeCell ref="D4:G4"/>
    <mergeCell ref="D6:G6"/>
    <mergeCell ref="C9:D9"/>
    <mergeCell ref="C11:D11"/>
    <mergeCell ref="C20:D20"/>
    <mergeCell ref="C21:D21"/>
    <mergeCell ref="C22:D22"/>
    <mergeCell ref="C23:D23"/>
    <mergeCell ref="AZ29:BB29"/>
    <mergeCell ref="F45:H45"/>
    <mergeCell ref="F63:H63"/>
    <mergeCell ref="F81:H81"/>
    <mergeCell ref="F99:H99"/>
    <mergeCell ref="C47:D47"/>
    <mergeCell ref="F117:H117"/>
    <mergeCell ref="F136:H136"/>
    <mergeCell ref="AZ47:BB47"/>
    <mergeCell ref="AZ65:BB65"/>
    <mergeCell ref="BC65:BE65"/>
    <mergeCell ref="AZ83:BB83"/>
    <mergeCell ref="BC83:BE83"/>
    <mergeCell ref="AZ119:BB119"/>
    <mergeCell ref="BC119:BE119"/>
    <mergeCell ref="AZ101:BB101"/>
    <mergeCell ref="BC101:BE101"/>
    <mergeCell ref="BO119:BQ119"/>
    <mergeCell ref="BF83:BH83"/>
    <mergeCell ref="BI83:BK83"/>
    <mergeCell ref="BL83:BN83"/>
    <mergeCell ref="BO83:BQ83"/>
    <mergeCell ref="BO101:BQ101"/>
    <mergeCell ref="BF101:BH101"/>
    <mergeCell ref="BI101:BK101"/>
    <mergeCell ref="BL101:BN101"/>
    <mergeCell ref="BF119:BH119"/>
    <mergeCell ref="BI119:BK119"/>
    <mergeCell ref="BL119:BN119"/>
  </mergeCells>
  <conditionalFormatting sqref="C44:D44 J44:K44">
    <cfRule type="expression" dxfId="108" priority="83">
      <formula>$CP$44="NON"</formula>
    </cfRule>
  </conditionalFormatting>
  <conditionalFormatting sqref="C62:D62">
    <cfRule type="expression" dxfId="107" priority="92">
      <formula>$CP$62="NON"</formula>
    </cfRule>
  </conditionalFormatting>
  <conditionalFormatting sqref="C80:D80">
    <cfRule type="expression" dxfId="106" priority="86">
      <formula>$CP$80="NON"</formula>
    </cfRule>
  </conditionalFormatting>
  <conditionalFormatting sqref="C98:D98">
    <cfRule type="expression" dxfId="105" priority="85">
      <formula>$CP$98="NON"</formula>
    </cfRule>
  </conditionalFormatting>
  <conditionalFormatting sqref="C116:D116">
    <cfRule type="expression" dxfId="104" priority="59">
      <formula>$CP$115="NON"</formula>
    </cfRule>
  </conditionalFormatting>
  <conditionalFormatting sqref="C134:D134">
    <cfRule type="expression" dxfId="103" priority="17">
      <formula>$CP$115="NON"</formula>
    </cfRule>
  </conditionalFormatting>
  <conditionalFormatting sqref="C31:H42 J49:K60 J67:K78 J85:K96">
    <cfRule type="expression" dxfId="102" priority="35">
      <formula>$CO31="NON"</formula>
    </cfRule>
  </conditionalFormatting>
  <conditionalFormatting sqref="C49:H60">
    <cfRule type="expression" dxfId="101" priority="16">
      <formula>$CO49="NON"</formula>
    </cfRule>
  </conditionalFormatting>
  <conditionalFormatting sqref="C67:H78">
    <cfRule type="expression" dxfId="100" priority="15">
      <formula>$CO67="NON"</formula>
    </cfRule>
  </conditionalFormatting>
  <conditionalFormatting sqref="C85:H96">
    <cfRule type="expression" dxfId="99" priority="14">
      <formula>$CO85="NON"</formula>
    </cfRule>
  </conditionalFormatting>
  <conditionalFormatting sqref="C103:H114">
    <cfRule type="expression" dxfId="98" priority="13">
      <formula>$CO103="NON"</formula>
    </cfRule>
  </conditionalFormatting>
  <conditionalFormatting sqref="C121:H132">
    <cfRule type="expression" dxfId="97" priority="12">
      <formula>$CO121="NON"</formula>
    </cfRule>
  </conditionalFormatting>
  <conditionalFormatting sqref="D45">
    <cfRule type="cellIs" dxfId="96" priority="82" operator="greaterThan">
      <formula>30</formula>
    </cfRule>
  </conditionalFormatting>
  <conditionalFormatting sqref="D116">
    <cfRule type="notContainsBlanks" dxfId="95" priority="106">
      <formula>LEN(TRIM(D116))&gt;0</formula>
    </cfRule>
  </conditionalFormatting>
  <conditionalFormatting sqref="D134">
    <cfRule type="notContainsBlanks" dxfId="94" priority="18">
      <formula>LEN(TRIM(D134))&gt;0</formula>
    </cfRule>
  </conditionalFormatting>
  <conditionalFormatting sqref="E45">
    <cfRule type="expression" dxfId="93" priority="11">
      <formula>$F$45&lt;&gt;""</formula>
    </cfRule>
  </conditionalFormatting>
  <conditionalFormatting sqref="E63">
    <cfRule type="expression" dxfId="92" priority="10">
      <formula>$F$45&lt;&gt;""</formula>
    </cfRule>
  </conditionalFormatting>
  <conditionalFormatting sqref="E81">
    <cfRule type="expression" dxfId="91" priority="9">
      <formula>$F$45&lt;&gt;""</formula>
    </cfRule>
  </conditionalFormatting>
  <conditionalFormatting sqref="E99">
    <cfRule type="expression" dxfId="90" priority="8">
      <formula>$F$45&lt;&gt;""</formula>
    </cfRule>
  </conditionalFormatting>
  <conditionalFormatting sqref="E117">
    <cfRule type="expression" dxfId="89" priority="7">
      <formula>$F$45&lt;&gt;""</formula>
    </cfRule>
  </conditionalFormatting>
  <conditionalFormatting sqref="E136">
    <cfRule type="expression" dxfId="88" priority="6">
      <formula>$F$45&lt;&gt;""</formula>
    </cfRule>
  </conditionalFormatting>
  <conditionalFormatting sqref="H20:H25">
    <cfRule type="notContainsBlanks" dxfId="87" priority="53">
      <formula>LEN(TRIM(H20))&gt;0</formula>
    </cfRule>
  </conditionalFormatting>
  <conditionalFormatting sqref="H31:H42">
    <cfRule type="notContainsBlanks" dxfId="86" priority="36">
      <formula>LEN(TRIM(H31))&gt;0</formula>
    </cfRule>
  </conditionalFormatting>
  <conditionalFormatting sqref="H49:H60">
    <cfRule type="notContainsBlanks" dxfId="85" priority="34">
      <formula>LEN(TRIM(H49))&gt;0</formula>
    </cfRule>
  </conditionalFormatting>
  <conditionalFormatting sqref="H67:H78">
    <cfRule type="notContainsBlanks" dxfId="84" priority="32">
      <formula>LEN(TRIM(H67))&gt;0</formula>
    </cfRule>
  </conditionalFormatting>
  <conditionalFormatting sqref="H85:H96">
    <cfRule type="notContainsBlanks" dxfId="83" priority="30">
      <formula>LEN(TRIM(H85))&gt;0</formula>
    </cfRule>
  </conditionalFormatting>
  <conditionalFormatting sqref="H103:H114">
    <cfRule type="notContainsBlanks" dxfId="82" priority="28">
      <formula>LEN(TRIM(H103))&gt;0</formula>
    </cfRule>
  </conditionalFormatting>
  <conditionalFormatting sqref="H121:H132">
    <cfRule type="notContainsBlanks" dxfId="81" priority="26">
      <formula>LEN(TRIM(H121))&gt;0</formula>
    </cfRule>
  </conditionalFormatting>
  <conditionalFormatting sqref="J31:K42">
    <cfRule type="expression" dxfId="80" priority="100">
      <formula>$CO31="NON"</formula>
    </cfRule>
  </conditionalFormatting>
  <conditionalFormatting sqref="J62:K62">
    <cfRule type="expression" dxfId="79" priority="49">
      <formula>$CP$44="NON"</formula>
    </cfRule>
  </conditionalFormatting>
  <conditionalFormatting sqref="J80:K80">
    <cfRule type="expression" dxfId="78" priority="40">
      <formula>$CP$44="NON"</formula>
    </cfRule>
  </conditionalFormatting>
  <conditionalFormatting sqref="J98:K98">
    <cfRule type="expression" dxfId="77" priority="39">
      <formula>$CP$44="NON"</formula>
    </cfRule>
  </conditionalFormatting>
  <conditionalFormatting sqref="J103:K114 J31:K42 N49:N60 N67:N78 N85:N96 N31:N42 D62 P67:P78 P85:P96 N103:N114 P31:P42 P103:P114 D80 D98 D44 D31:E42 J49:K60 J67:K78 J85:K96 D49:E60 D67:E78 D85:E96 D103:E114 D4:G4 D6:G6 E9:F9 D15 P49:P60">
    <cfRule type="notContainsBlanks" dxfId="76" priority="108">
      <formula>LEN(TRIM(D4))&gt;0</formula>
    </cfRule>
  </conditionalFormatting>
  <conditionalFormatting sqref="J103:K114">
    <cfRule type="expression" dxfId="75" priority="101">
      <formula>$CO103="NON"</formula>
    </cfRule>
  </conditionalFormatting>
  <conditionalFormatting sqref="J116:K116">
    <cfRule type="expression" dxfId="74" priority="38">
      <formula>$CP$44="NON"</formula>
    </cfRule>
  </conditionalFormatting>
  <conditionalFormatting sqref="J121:K132 N121:N132 P121:P132 D121:E132">
    <cfRule type="notContainsBlanks" dxfId="73" priority="107">
      <formula>LEN(TRIM(D121))&gt;0</formula>
    </cfRule>
  </conditionalFormatting>
  <conditionalFormatting sqref="J121:K132">
    <cfRule type="expression" dxfId="72" priority="65">
      <formula>$CO121="NON"</formula>
    </cfRule>
  </conditionalFormatting>
  <conditionalFormatting sqref="J135:K135">
    <cfRule type="expression" dxfId="71" priority="37">
      <formula>$CP$44="NON"</formula>
    </cfRule>
  </conditionalFormatting>
  <conditionalFormatting sqref="K2">
    <cfRule type="containsBlanks" dxfId="70" priority="74">
      <formula>LEN(TRIM(K2))=0</formula>
    </cfRule>
  </conditionalFormatting>
  <conditionalFormatting sqref="K45">
    <cfRule type="containsErrors" dxfId="69" priority="24">
      <formula>ISERROR(K45)</formula>
    </cfRule>
  </conditionalFormatting>
  <conditionalFormatting sqref="K63">
    <cfRule type="containsErrors" dxfId="68" priority="5">
      <formula>ISERROR(K63)</formula>
    </cfRule>
  </conditionalFormatting>
  <conditionalFormatting sqref="K81">
    <cfRule type="containsErrors" dxfId="67" priority="4">
      <formula>ISERROR(K81)</formula>
    </cfRule>
  </conditionalFormatting>
  <conditionalFormatting sqref="K99">
    <cfRule type="containsErrors" dxfId="66" priority="3">
      <formula>ISERROR(K99)</formula>
    </cfRule>
  </conditionalFormatting>
  <conditionalFormatting sqref="K117">
    <cfRule type="containsErrors" dxfId="65" priority="2">
      <formula>ISERROR(K117)</formula>
    </cfRule>
  </conditionalFormatting>
  <conditionalFormatting sqref="K136">
    <cfRule type="containsErrors" dxfId="64" priority="1">
      <formula>ISERROR(K136)</formula>
    </cfRule>
  </conditionalFormatting>
  <conditionalFormatting sqref="M31:N42">
    <cfRule type="expression" dxfId="63" priority="93">
      <formula>$CO31="NON"</formula>
    </cfRule>
  </conditionalFormatting>
  <conditionalFormatting sqref="M49:N60">
    <cfRule type="expression" dxfId="62" priority="96">
      <formula>$CO49="NON"</formula>
    </cfRule>
  </conditionalFormatting>
  <conditionalFormatting sqref="M67:N78">
    <cfRule type="expression" dxfId="61" priority="95">
      <formula>$CO67="NON"</formula>
    </cfRule>
  </conditionalFormatting>
  <conditionalFormatting sqref="M85:N96">
    <cfRule type="expression" dxfId="60" priority="94">
      <formula>$CO85="NON"</formula>
    </cfRule>
  </conditionalFormatting>
  <conditionalFormatting sqref="M103:N114">
    <cfRule type="expression" dxfId="59" priority="89">
      <formula>$CO103="NON"</formula>
    </cfRule>
  </conditionalFormatting>
  <conditionalFormatting sqref="M121:N132">
    <cfRule type="expression" dxfId="58" priority="63">
      <formula>$CO121="NON"</formula>
    </cfRule>
  </conditionalFormatting>
  <conditionalFormatting sqref="P31:P42">
    <cfRule type="expression" dxfId="57" priority="88">
      <formula>$CO31="NON"</formula>
    </cfRule>
  </conditionalFormatting>
  <conditionalFormatting sqref="P67:P78">
    <cfRule type="expression" dxfId="56" priority="91">
      <formula>$CO67="NON"</formula>
    </cfRule>
  </conditionalFormatting>
  <conditionalFormatting sqref="P85:P96">
    <cfRule type="expression" dxfId="55" priority="90">
      <formula>$CO85="NON"</formula>
    </cfRule>
  </conditionalFormatting>
  <conditionalFormatting sqref="P103:P114">
    <cfRule type="expression" dxfId="54" priority="87">
      <formula>$CO103="NON"</formula>
    </cfRule>
  </conditionalFormatting>
  <conditionalFormatting sqref="P121:P132">
    <cfRule type="expression" dxfId="53" priority="62">
      <formula>$CO121="NON"</formula>
    </cfRule>
  </conditionalFormatting>
  <conditionalFormatting sqref="CO2:CP2">
    <cfRule type="expression" dxfId="52" priority="73">
      <formula>$C$49=""</formula>
    </cfRule>
  </conditionalFormatting>
  <dataValidations disablePrompts="1" count="1">
    <dataValidation type="list" showInputMessage="1" showErrorMessage="1" sqref="K2" xr:uid="{13EBB123-3363-43AF-9283-D81FF58B9BCE}">
      <formula1>"NET,BRUT"</formula1>
    </dataValidation>
  </dataValidations>
  <pageMargins left="0.25" right="0.25" top="0.75" bottom="0.75" header="0.3" footer="0.3"/>
  <pageSetup paperSize="9" scale="60" fitToHeight="0" orientation="landscape" r:id="rId1"/>
  <rowBreaks count="2" manualBreakCount="2">
    <brk id="83" max="16383" man="1"/>
    <brk id="11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FF115-2C38-44C9-9C3E-BFE762DF42B2}">
  <sheetPr>
    <tabColor theme="0" tint="-0.499984740745262"/>
  </sheetPr>
  <dimension ref="A1:AZ248"/>
  <sheetViews>
    <sheetView showGridLines="0" topLeftCell="B1" zoomScaleNormal="100" workbookViewId="0">
      <selection activeCell="H8" sqref="H8"/>
    </sheetView>
  </sheetViews>
  <sheetFormatPr baseColWidth="10" defaultRowHeight="14.25" x14ac:dyDescent="0.2"/>
  <cols>
    <col min="1" max="1" width="10.140625" style="77" hidden="1" customWidth="1"/>
    <col min="2" max="2" width="3.85546875" style="6" customWidth="1"/>
    <col min="3" max="3" width="34.140625" style="77" customWidth="1"/>
    <col min="4" max="4" width="15.85546875" style="77" customWidth="1"/>
    <col min="5" max="5" width="12.85546875" style="77" customWidth="1"/>
    <col min="6" max="6" width="13.140625" style="77" customWidth="1"/>
    <col min="7" max="7" width="16.42578125" style="77" customWidth="1"/>
    <col min="8" max="8" width="60" style="77" customWidth="1"/>
    <col min="9" max="9" width="11.42578125" style="77"/>
    <col min="10" max="10" width="18.42578125" style="77" bestFit="1" customWidth="1"/>
    <col min="11" max="11" width="11.42578125" style="77"/>
    <col min="12" max="12" width="10" style="77" customWidth="1"/>
    <col min="13" max="13" width="12" style="77" customWidth="1"/>
    <col min="14" max="25" width="11.42578125" style="77"/>
    <col min="26" max="26" width="10.85546875" style="77" customWidth="1"/>
    <col min="27" max="27" width="12.42578125" style="77" customWidth="1"/>
    <col min="28" max="28" width="15.7109375" style="77" customWidth="1"/>
    <col min="29" max="29" width="19.140625" style="77" customWidth="1"/>
    <col min="30" max="30" width="27.42578125" style="77" customWidth="1"/>
    <col min="31" max="31" width="16" style="77" customWidth="1"/>
    <col min="32" max="32" width="27.42578125" style="77" customWidth="1"/>
    <col min="33" max="33" width="19.28515625" style="77" customWidth="1"/>
    <col min="34" max="34" width="16.42578125" style="77" customWidth="1"/>
    <col min="35" max="35" width="19.7109375" style="77" hidden="1" customWidth="1"/>
    <col min="36" max="36" width="15.7109375" style="77" hidden="1" customWidth="1"/>
    <col min="37" max="37" width="13.7109375" style="77" hidden="1" customWidth="1"/>
    <col min="38" max="38" width="11.42578125" style="77" hidden="1" customWidth="1"/>
    <col min="39" max="39" width="3.7109375" style="77" hidden="1" customWidth="1"/>
    <col min="40" max="40" width="11.42578125" style="77" hidden="1" customWidth="1"/>
    <col min="41" max="41" width="25" style="77" hidden="1" customWidth="1"/>
    <col min="42" max="45" width="11.42578125" style="77" hidden="1" customWidth="1"/>
    <col min="46" max="46" width="10.85546875" style="77" hidden="1" customWidth="1"/>
    <col min="47" max="47" width="28.5703125" style="77" hidden="1" customWidth="1"/>
    <col min="48" max="52" width="11.42578125" style="77" hidden="1" customWidth="1"/>
    <col min="53" max="53" width="11.42578125" style="77" customWidth="1"/>
    <col min="54" max="16384" width="11.42578125" style="77"/>
  </cols>
  <sheetData>
    <row r="1" spans="2:47" ht="34.5" customHeight="1" x14ac:dyDescent="0.2">
      <c r="C1" s="225" t="s">
        <v>1</v>
      </c>
      <c r="D1" s="225"/>
      <c r="E1" s="225"/>
      <c r="F1" s="225"/>
      <c r="G1" s="225"/>
      <c r="H1" s="225"/>
      <c r="I1" s="10"/>
      <c r="J1" s="10"/>
      <c r="K1" s="10"/>
      <c r="AB1" s="78"/>
      <c r="AC1" s="79"/>
      <c r="AD1" s="79"/>
      <c r="AE1" s="79"/>
      <c r="AF1" s="79"/>
      <c r="AG1" s="80"/>
      <c r="AH1" s="81"/>
      <c r="AI1" s="81"/>
      <c r="AJ1" s="81"/>
      <c r="AK1" s="81"/>
      <c r="AO1" s="82" t="s">
        <v>5</v>
      </c>
      <c r="AP1" s="82" t="s">
        <v>6</v>
      </c>
      <c r="AQ1" s="82" t="s">
        <v>7</v>
      </c>
      <c r="AR1" s="82" t="s">
        <v>8</v>
      </c>
      <c r="AS1" s="82" t="s">
        <v>9</v>
      </c>
      <c r="AT1" s="82" t="s">
        <v>10</v>
      </c>
      <c r="AU1" s="82" t="s">
        <v>11</v>
      </c>
    </row>
    <row r="2" spans="2:47" ht="15.75" x14ac:dyDescent="0.25">
      <c r="C2" s="226" t="s">
        <v>4</v>
      </c>
      <c r="D2" s="226"/>
      <c r="E2" s="226"/>
      <c r="F2" s="226"/>
      <c r="G2" s="226"/>
      <c r="H2" s="226"/>
      <c r="I2" s="226"/>
      <c r="J2" s="11" t="s">
        <v>12</v>
      </c>
      <c r="K2" s="188" t="s">
        <v>3</v>
      </c>
      <c r="L2" s="13" t="s">
        <v>13</v>
      </c>
      <c r="AE2" s="5"/>
      <c r="AF2" s="83"/>
      <c r="AI2" s="84"/>
      <c r="AJ2" s="84"/>
      <c r="AN2" s="85">
        <v>1</v>
      </c>
      <c r="AO2" s="85" t="s">
        <v>14</v>
      </c>
      <c r="AP2" s="85" t="s">
        <v>109</v>
      </c>
      <c r="AQ2" s="85" t="s">
        <v>109</v>
      </c>
      <c r="AR2" s="85" t="s">
        <v>109</v>
      </c>
      <c r="AS2" s="85" t="s">
        <v>110</v>
      </c>
      <c r="AT2" s="85" t="s">
        <v>109</v>
      </c>
      <c r="AU2" s="85" t="s">
        <v>109</v>
      </c>
    </row>
    <row r="3" spans="2:47" x14ac:dyDescent="0.2">
      <c r="J3" s="124" t="s">
        <v>88</v>
      </c>
      <c r="K3" s="77">
        <v>0.78120000000000001</v>
      </c>
      <c r="AC3" s="5"/>
      <c r="AD3" s="83"/>
      <c r="AE3" s="5"/>
      <c r="AF3" s="83"/>
      <c r="AI3" s="84"/>
      <c r="AJ3" s="84"/>
      <c r="AK3" s="84"/>
      <c r="AN3" s="85">
        <v>2</v>
      </c>
      <c r="AO3" s="85" t="s">
        <v>15</v>
      </c>
      <c r="AP3" s="86">
        <v>6632.7</v>
      </c>
      <c r="AQ3" s="86">
        <v>6632.7</v>
      </c>
      <c r="AR3" s="86">
        <v>6632.7</v>
      </c>
      <c r="AS3" s="86">
        <v>6632.7</v>
      </c>
      <c r="AT3" s="86">
        <v>6632.7</v>
      </c>
      <c r="AU3" s="86">
        <v>6632.7</v>
      </c>
    </row>
    <row r="4" spans="2:47" s="8" customFormat="1" ht="12.75" x14ac:dyDescent="0.2">
      <c r="B4" s="6"/>
      <c r="C4" s="14" t="s">
        <v>16</v>
      </c>
      <c r="D4" s="245" t="s">
        <v>100</v>
      </c>
      <c r="E4" s="245"/>
      <c r="F4" s="245"/>
      <c r="G4" s="245"/>
      <c r="AC4" s="5"/>
      <c r="AD4" s="13"/>
      <c r="AE4" s="5"/>
      <c r="AF4" s="13"/>
      <c r="AI4" s="87"/>
      <c r="AJ4" s="87"/>
      <c r="AK4" s="87"/>
      <c r="AN4" s="88">
        <v>3</v>
      </c>
      <c r="AO4" s="88" t="s">
        <v>17</v>
      </c>
      <c r="AP4" s="89"/>
      <c r="AQ4" s="89">
        <v>8213.2900000000009</v>
      </c>
      <c r="AR4" s="89">
        <v>8213.2900000000009</v>
      </c>
      <c r="AS4" s="89">
        <v>8213.2900000000009</v>
      </c>
      <c r="AT4" s="89">
        <v>8213.2900000000009</v>
      </c>
      <c r="AU4" s="89">
        <v>8213.2900000000009</v>
      </c>
    </row>
    <row r="5" spans="2:47" s="8" customFormat="1" ht="12.75" x14ac:dyDescent="0.2">
      <c r="B5" s="6"/>
      <c r="C5" s="3"/>
      <c r="D5" s="90"/>
      <c r="E5" s="90"/>
      <c r="F5" s="90"/>
      <c r="G5" s="90"/>
      <c r="AC5" s="5"/>
      <c r="AD5" s="13"/>
      <c r="AE5" s="5"/>
      <c r="AF5" s="13"/>
      <c r="AI5" s="87"/>
      <c r="AJ5" s="87"/>
      <c r="AK5" s="87"/>
      <c r="AN5" s="88">
        <v>4</v>
      </c>
      <c r="AO5" s="88" t="s">
        <v>18</v>
      </c>
      <c r="AP5" s="89"/>
      <c r="AQ5" s="89"/>
      <c r="AR5" s="89">
        <v>8603.31</v>
      </c>
      <c r="AS5" s="89">
        <v>8603.31</v>
      </c>
      <c r="AT5" s="89">
        <v>8603.31</v>
      </c>
      <c r="AU5" s="89">
        <v>8603.31</v>
      </c>
    </row>
    <row r="6" spans="2:47" s="8" customFormat="1" ht="12.75" x14ac:dyDescent="0.2">
      <c r="B6" s="6"/>
      <c r="C6" s="14" t="s">
        <v>19</v>
      </c>
      <c r="D6" s="245" t="s">
        <v>99</v>
      </c>
      <c r="E6" s="245"/>
      <c r="F6" s="245"/>
      <c r="G6" s="245"/>
      <c r="AC6" s="5"/>
      <c r="AD6" s="13"/>
      <c r="AE6" s="5"/>
      <c r="AF6" s="13"/>
      <c r="AI6" s="87"/>
      <c r="AJ6" s="87"/>
      <c r="AK6" s="87"/>
      <c r="AN6" s="88">
        <v>5</v>
      </c>
      <c r="AO6" s="88" t="s">
        <v>20</v>
      </c>
      <c r="AP6" s="89"/>
      <c r="AQ6" s="89"/>
      <c r="AR6" s="89"/>
      <c r="AS6" s="89">
        <v>1500</v>
      </c>
      <c r="AT6" s="89">
        <v>1500</v>
      </c>
      <c r="AU6" s="89">
        <v>1500</v>
      </c>
    </row>
    <row r="7" spans="2:47" s="8" customFormat="1" ht="12.75" x14ac:dyDescent="0.2">
      <c r="B7" s="6"/>
      <c r="AC7" s="5"/>
      <c r="AD7" s="13"/>
      <c r="AE7" s="5"/>
      <c r="AF7" s="13"/>
      <c r="AG7" s="91"/>
      <c r="AH7" s="87"/>
      <c r="AI7" s="87"/>
      <c r="AJ7" s="87"/>
      <c r="AK7" s="87"/>
      <c r="AN7" s="88">
        <v>6</v>
      </c>
      <c r="AO7" s="88" t="s">
        <v>21</v>
      </c>
      <c r="AP7" s="89"/>
      <c r="AQ7" s="89"/>
      <c r="AR7" s="89"/>
      <c r="AS7" s="89"/>
      <c r="AT7" s="89">
        <v>0</v>
      </c>
      <c r="AU7" s="89">
        <v>0</v>
      </c>
    </row>
    <row r="8" spans="2:47" s="8" customFormat="1" ht="12.75" x14ac:dyDescent="0.2">
      <c r="B8" s="6"/>
      <c r="E8" s="15"/>
      <c r="AN8" s="88">
        <v>7</v>
      </c>
      <c r="AO8" s="88" t="s">
        <v>22</v>
      </c>
      <c r="AP8" s="89"/>
      <c r="AQ8" s="89"/>
      <c r="AR8" s="89"/>
      <c r="AS8" s="89"/>
      <c r="AT8" s="89"/>
      <c r="AU8" s="89">
        <v>0</v>
      </c>
    </row>
    <row r="9" spans="2:47" s="8" customFormat="1" ht="12.75" x14ac:dyDescent="0.2">
      <c r="B9" s="6"/>
      <c r="C9" s="223" t="s">
        <v>111</v>
      </c>
      <c r="D9" s="224"/>
      <c r="E9" s="189">
        <v>750</v>
      </c>
      <c r="F9" s="190"/>
      <c r="AN9" s="88">
        <v>8</v>
      </c>
      <c r="AO9" s="88" t="s">
        <v>23</v>
      </c>
      <c r="AP9" s="89">
        <v>6632.7</v>
      </c>
      <c r="AQ9" s="89">
        <v>8213.2900000000009</v>
      </c>
      <c r="AR9" s="89">
        <v>8603.31</v>
      </c>
      <c r="AS9" s="89">
        <v>1500</v>
      </c>
      <c r="AT9" s="89">
        <v>0</v>
      </c>
      <c r="AU9" s="89">
        <v>0</v>
      </c>
    </row>
    <row r="10" spans="2:47" s="8" customFormat="1" ht="12.75" x14ac:dyDescent="0.2">
      <c r="B10" s="6"/>
      <c r="C10" s="7"/>
      <c r="D10" s="93"/>
      <c r="E10" s="93"/>
      <c r="AN10" s="88">
        <v>9</v>
      </c>
      <c r="AO10" s="88" t="s">
        <v>24</v>
      </c>
      <c r="AP10" s="94">
        <v>24</v>
      </c>
      <c r="AQ10" s="94">
        <v>24</v>
      </c>
      <c r="AR10" s="94">
        <v>24</v>
      </c>
      <c r="AS10" s="94">
        <v>24</v>
      </c>
      <c r="AT10" s="94">
        <v>24</v>
      </c>
      <c r="AU10" s="94">
        <v>24</v>
      </c>
    </row>
    <row r="11" spans="2:47" s="8" customFormat="1" ht="12.75" x14ac:dyDescent="0.2">
      <c r="B11" s="6"/>
      <c r="C11" s="223" t="s">
        <v>25</v>
      </c>
      <c r="D11" s="224"/>
      <c r="E11" s="191">
        <v>52</v>
      </c>
      <c r="F11" s="192"/>
      <c r="AN11" s="88">
        <v>10</v>
      </c>
      <c r="AO11" s="88" t="s">
        <v>26</v>
      </c>
      <c r="AP11" s="88"/>
      <c r="AQ11" s="94">
        <v>30</v>
      </c>
      <c r="AR11" s="94">
        <v>30</v>
      </c>
      <c r="AS11" s="94">
        <v>30</v>
      </c>
      <c r="AT11" s="94">
        <v>30</v>
      </c>
      <c r="AU11" s="94">
        <v>30</v>
      </c>
    </row>
    <row r="12" spans="2:47" s="8" customFormat="1" ht="12.75" x14ac:dyDescent="0.2">
      <c r="B12" s="6"/>
      <c r="AN12" s="88">
        <v>11</v>
      </c>
      <c r="AO12" s="88" t="s">
        <v>27</v>
      </c>
      <c r="AP12" s="88"/>
      <c r="AQ12" s="88"/>
      <c r="AR12" s="94">
        <v>30</v>
      </c>
      <c r="AS12" s="94">
        <v>30</v>
      </c>
      <c r="AT12" s="94">
        <v>30</v>
      </c>
      <c r="AU12" s="94">
        <v>30</v>
      </c>
    </row>
    <row r="13" spans="2:47" s="8" customFormat="1" ht="26.25" customHeight="1" x14ac:dyDescent="0.2">
      <c r="B13" s="6"/>
      <c r="C13" s="216" t="s">
        <v>28</v>
      </c>
      <c r="D13" s="217"/>
      <c r="E13" s="92">
        <v>173.08</v>
      </c>
      <c r="F13" s="218" t="s">
        <v>112</v>
      </c>
      <c r="G13" s="219"/>
      <c r="H13" s="220"/>
      <c r="AN13" s="88">
        <v>12</v>
      </c>
      <c r="AO13" s="88" t="s">
        <v>29</v>
      </c>
      <c r="AP13" s="88"/>
      <c r="AQ13" s="88"/>
      <c r="AR13" s="88"/>
      <c r="AS13" s="94">
        <v>5</v>
      </c>
      <c r="AT13" s="94">
        <v>5</v>
      </c>
      <c r="AU13" s="94">
        <v>5</v>
      </c>
    </row>
    <row r="14" spans="2:47" s="8" customFormat="1" ht="12.75" x14ac:dyDescent="0.2">
      <c r="B14" s="6"/>
      <c r="AN14" s="88">
        <v>13</v>
      </c>
      <c r="AO14" s="88" t="s">
        <v>30</v>
      </c>
      <c r="AP14" s="88"/>
      <c r="AQ14" s="88"/>
      <c r="AR14" s="88"/>
      <c r="AS14" s="88"/>
      <c r="AT14" s="94">
        <v>0</v>
      </c>
      <c r="AU14" s="94">
        <v>0</v>
      </c>
    </row>
    <row r="15" spans="2:47" s="8" customFormat="1" ht="12.75" x14ac:dyDescent="0.2">
      <c r="B15" s="6"/>
      <c r="C15" s="96" t="s">
        <v>31</v>
      </c>
      <c r="D15" s="193">
        <v>44805</v>
      </c>
      <c r="E15" s="8" t="s">
        <v>32</v>
      </c>
      <c r="AN15" s="88">
        <v>14</v>
      </c>
      <c r="AO15" s="88" t="s">
        <v>33</v>
      </c>
      <c r="AP15" s="88"/>
      <c r="AQ15" s="88"/>
      <c r="AR15" s="88"/>
      <c r="AS15" s="88"/>
      <c r="AT15" s="88"/>
      <c r="AU15" s="94">
        <v>0</v>
      </c>
    </row>
    <row r="16" spans="2:47" s="8" customFormat="1" ht="12.75" x14ac:dyDescent="0.2">
      <c r="B16" s="6"/>
      <c r="F16" s="17" t="s">
        <v>113</v>
      </c>
      <c r="G16" s="17"/>
      <c r="H16" s="17"/>
      <c r="AN16" s="88">
        <v>15</v>
      </c>
      <c r="AO16" s="88" t="s">
        <v>34</v>
      </c>
      <c r="AP16" s="94">
        <v>24</v>
      </c>
      <c r="AQ16" s="94">
        <v>30</v>
      </c>
      <c r="AR16" s="94">
        <v>30</v>
      </c>
      <c r="AS16" s="94">
        <v>5</v>
      </c>
      <c r="AT16" s="94">
        <v>0</v>
      </c>
      <c r="AU16" s="94">
        <v>0</v>
      </c>
    </row>
    <row r="17" spans="2:47" s="8" customFormat="1" ht="12.75" x14ac:dyDescent="0.2">
      <c r="B17" s="6"/>
      <c r="C17" s="96" t="s">
        <v>35</v>
      </c>
      <c r="D17" s="193">
        <v>45869</v>
      </c>
      <c r="E17" s="8" t="s">
        <v>32</v>
      </c>
      <c r="AN17" s="88">
        <v>16</v>
      </c>
      <c r="AO17" s="88" t="s">
        <v>36</v>
      </c>
      <c r="AP17" s="94">
        <v>0</v>
      </c>
      <c r="AQ17" s="94">
        <v>24</v>
      </c>
      <c r="AR17" s="94">
        <v>24</v>
      </c>
      <c r="AS17" s="94">
        <v>24</v>
      </c>
      <c r="AT17" s="94">
        <v>24</v>
      </c>
      <c r="AU17" s="94">
        <v>24</v>
      </c>
    </row>
    <row r="18" spans="2:47" s="8" customFormat="1" ht="13.5" thickBot="1" x14ac:dyDescent="0.25">
      <c r="B18" s="6"/>
      <c r="AN18" s="88">
        <v>17</v>
      </c>
      <c r="AO18" s="88" t="s">
        <v>37</v>
      </c>
      <c r="AP18" s="88"/>
      <c r="AQ18" s="94">
        <v>0</v>
      </c>
      <c r="AR18" s="94">
        <v>30</v>
      </c>
      <c r="AS18" s="94">
        <v>30</v>
      </c>
      <c r="AT18" s="94">
        <v>30</v>
      </c>
      <c r="AU18" s="94">
        <v>30</v>
      </c>
    </row>
    <row r="19" spans="2:47" s="8" customFormat="1" ht="13.5" thickBot="1" x14ac:dyDescent="0.25">
      <c r="B19" s="6"/>
      <c r="C19" s="243" t="s">
        <v>38</v>
      </c>
      <c r="D19" s="243"/>
      <c r="E19" s="243"/>
      <c r="F19" s="18">
        <v>35</v>
      </c>
      <c r="AN19" s="88">
        <v>18</v>
      </c>
      <c r="AO19" s="88" t="s">
        <v>39</v>
      </c>
      <c r="AP19" s="88"/>
      <c r="AQ19" s="88"/>
      <c r="AR19" s="94">
        <v>0</v>
      </c>
      <c r="AS19" s="94">
        <v>0</v>
      </c>
      <c r="AT19" s="94">
        <v>0</v>
      </c>
      <c r="AU19" s="94">
        <v>0</v>
      </c>
    </row>
    <row r="20" spans="2:47" s="8" customFormat="1" ht="12.75" x14ac:dyDescent="0.2">
      <c r="B20" s="6"/>
      <c r="C20" s="19"/>
      <c r="D20" s="19"/>
      <c r="E20" s="19"/>
      <c r="F20" s="20"/>
      <c r="AN20" s="88">
        <v>19</v>
      </c>
      <c r="AO20" s="88" t="s">
        <v>40</v>
      </c>
      <c r="AP20" s="88"/>
      <c r="AQ20" s="88"/>
      <c r="AR20" s="88"/>
      <c r="AS20" s="94">
        <v>0</v>
      </c>
      <c r="AT20" s="94">
        <v>0</v>
      </c>
      <c r="AU20" s="94">
        <v>0</v>
      </c>
    </row>
    <row r="21" spans="2:47" s="8" customFormat="1" ht="34.5" customHeight="1" x14ac:dyDescent="0.2">
      <c r="B21" s="6"/>
      <c r="C21" s="244" t="s">
        <v>114</v>
      </c>
      <c r="D21" s="244"/>
      <c r="E21" s="244"/>
      <c r="F21" s="21">
        <v>1009.63</v>
      </c>
      <c r="G21" s="236" t="s">
        <v>115</v>
      </c>
      <c r="H21" s="236"/>
      <c r="AN21" s="88">
        <v>20</v>
      </c>
      <c r="AO21" s="88" t="s">
        <v>41</v>
      </c>
      <c r="AP21" s="88"/>
      <c r="AQ21" s="88"/>
      <c r="AR21" s="88"/>
      <c r="AS21" s="88"/>
      <c r="AT21" s="94">
        <v>0</v>
      </c>
      <c r="AU21" s="94">
        <v>0</v>
      </c>
    </row>
    <row r="22" spans="2:47" s="8" customFormat="1" ht="12.75" x14ac:dyDescent="0.2">
      <c r="B22" s="6"/>
      <c r="C22" s="19"/>
      <c r="D22" s="19"/>
      <c r="E22" s="7"/>
      <c r="F22" s="20"/>
      <c r="AN22" s="88">
        <v>21</v>
      </c>
      <c r="AO22" s="88" t="s">
        <v>42</v>
      </c>
      <c r="AP22" s="88"/>
      <c r="AQ22" s="88"/>
      <c r="AR22" s="88"/>
      <c r="AS22" s="88"/>
      <c r="AT22" s="88"/>
      <c r="AU22" s="94">
        <v>0</v>
      </c>
    </row>
    <row r="23" spans="2:47" s="8" customFormat="1" ht="42.75" customHeight="1" x14ac:dyDescent="0.2">
      <c r="B23" s="6"/>
      <c r="C23" s="240" t="s">
        <v>116</v>
      </c>
      <c r="D23" s="235" t="s">
        <v>117</v>
      </c>
      <c r="E23" s="235"/>
      <c r="F23" s="22">
        <v>0</v>
      </c>
      <c r="G23" s="236" t="s">
        <v>118</v>
      </c>
      <c r="H23" s="236"/>
      <c r="AN23" s="88">
        <v>22</v>
      </c>
      <c r="AO23" s="88" t="s">
        <v>43</v>
      </c>
      <c r="AP23" s="94">
        <v>0</v>
      </c>
      <c r="AQ23" s="94">
        <v>0</v>
      </c>
      <c r="AR23" s="94">
        <v>0</v>
      </c>
      <c r="AS23" s="94">
        <v>0</v>
      </c>
      <c r="AT23" s="94">
        <v>0</v>
      </c>
      <c r="AU23" s="94">
        <v>0</v>
      </c>
    </row>
    <row r="24" spans="2:47" s="8" customFormat="1" ht="42.75" customHeight="1" x14ac:dyDescent="0.2">
      <c r="B24" s="6"/>
      <c r="C24" s="241"/>
      <c r="D24" s="235" t="s">
        <v>119</v>
      </c>
      <c r="E24" s="235"/>
      <c r="F24" s="22">
        <v>0</v>
      </c>
      <c r="G24" s="236" t="s">
        <v>120</v>
      </c>
      <c r="H24" s="236"/>
      <c r="AN24" s="88">
        <v>23</v>
      </c>
      <c r="AO24" s="88" t="s">
        <v>44</v>
      </c>
      <c r="AP24" s="94">
        <v>24</v>
      </c>
      <c r="AQ24" s="94">
        <v>0</v>
      </c>
      <c r="AR24" s="94">
        <v>0</v>
      </c>
      <c r="AS24" s="94">
        <v>0</v>
      </c>
      <c r="AT24" s="94">
        <v>0</v>
      </c>
      <c r="AU24" s="94">
        <v>0</v>
      </c>
    </row>
    <row r="25" spans="2:47" s="8" customFormat="1" ht="42.75" customHeight="1" x14ac:dyDescent="0.2">
      <c r="B25" s="6"/>
      <c r="C25" s="241"/>
      <c r="D25" s="235" t="s">
        <v>121</v>
      </c>
      <c r="E25" s="235"/>
      <c r="F25" s="22">
        <v>860.33</v>
      </c>
      <c r="G25" s="236" t="s">
        <v>122</v>
      </c>
      <c r="H25" s="236"/>
      <c r="AN25" s="88">
        <v>24</v>
      </c>
      <c r="AO25" s="88" t="s">
        <v>45</v>
      </c>
      <c r="AP25" s="88"/>
      <c r="AQ25" s="94">
        <v>30</v>
      </c>
      <c r="AR25" s="94">
        <v>0</v>
      </c>
      <c r="AS25" s="94">
        <v>0</v>
      </c>
      <c r="AT25" s="94">
        <v>0</v>
      </c>
      <c r="AU25" s="94">
        <v>0</v>
      </c>
    </row>
    <row r="26" spans="2:47" s="8" customFormat="1" ht="42.75" customHeight="1" x14ac:dyDescent="0.2">
      <c r="B26" s="6"/>
      <c r="C26" s="241"/>
      <c r="D26" s="235" t="s">
        <v>123</v>
      </c>
      <c r="E26" s="235"/>
      <c r="F26" s="22">
        <v>150</v>
      </c>
      <c r="G26" s="236" t="s">
        <v>124</v>
      </c>
      <c r="H26" s="236"/>
      <c r="AN26" s="88">
        <v>25</v>
      </c>
      <c r="AO26" s="88" t="s">
        <v>46</v>
      </c>
      <c r="AP26" s="88"/>
      <c r="AQ26" s="88"/>
      <c r="AR26" s="94">
        <v>30</v>
      </c>
      <c r="AS26" s="94">
        <v>30</v>
      </c>
      <c r="AT26" s="94">
        <v>30</v>
      </c>
      <c r="AU26" s="94">
        <v>30</v>
      </c>
    </row>
    <row r="27" spans="2:47" s="8" customFormat="1" ht="42.75" customHeight="1" x14ac:dyDescent="0.2">
      <c r="B27" s="6"/>
      <c r="C27" s="241"/>
      <c r="D27" s="235" t="s">
        <v>113</v>
      </c>
      <c r="E27" s="235"/>
      <c r="F27" s="22">
        <v>0</v>
      </c>
      <c r="G27" s="236" t="s">
        <v>113</v>
      </c>
      <c r="H27" s="236"/>
      <c r="AN27" s="88">
        <v>26</v>
      </c>
      <c r="AO27" s="88" t="s">
        <v>47</v>
      </c>
      <c r="AP27" s="88"/>
      <c r="AQ27" s="88"/>
      <c r="AR27" s="88"/>
      <c r="AS27" s="94">
        <v>5</v>
      </c>
      <c r="AT27" s="94">
        <v>5</v>
      </c>
      <c r="AU27" s="94">
        <v>5</v>
      </c>
    </row>
    <row r="28" spans="2:47" s="8" customFormat="1" ht="67.5" customHeight="1" x14ac:dyDescent="0.2">
      <c r="B28" s="6"/>
      <c r="C28" s="241"/>
      <c r="D28" s="235" t="s">
        <v>113</v>
      </c>
      <c r="E28" s="235"/>
      <c r="F28" s="22">
        <v>0</v>
      </c>
      <c r="G28" s="236" t="s">
        <v>113</v>
      </c>
      <c r="H28" s="236"/>
      <c r="AN28" s="88">
        <v>27</v>
      </c>
      <c r="AO28" s="88" t="s">
        <v>48</v>
      </c>
      <c r="AP28" s="88"/>
      <c r="AQ28" s="88"/>
      <c r="AR28" s="88"/>
      <c r="AS28" s="88"/>
      <c r="AT28" s="94">
        <v>0</v>
      </c>
      <c r="AU28" s="94">
        <v>0</v>
      </c>
    </row>
    <row r="29" spans="2:47" s="8" customFormat="1" ht="42" customHeight="1" x14ac:dyDescent="0.2">
      <c r="B29" s="6"/>
      <c r="C29" s="241"/>
      <c r="D29" s="228" t="s">
        <v>108</v>
      </c>
      <c r="E29" s="228"/>
      <c r="F29" s="22">
        <v>0</v>
      </c>
      <c r="G29" s="24"/>
      <c r="H29" s="24"/>
      <c r="AN29" s="88">
        <v>28</v>
      </c>
      <c r="AO29" s="88" t="s">
        <v>50</v>
      </c>
      <c r="AP29" s="88"/>
      <c r="AQ29" s="88"/>
      <c r="AR29" s="88"/>
      <c r="AS29" s="88"/>
      <c r="AT29" s="88"/>
      <c r="AU29" s="94">
        <v>0</v>
      </c>
    </row>
    <row r="30" spans="2:47" s="8" customFormat="1" ht="42.75" customHeight="1" x14ac:dyDescent="0.2">
      <c r="B30" s="6"/>
      <c r="C30" s="242"/>
      <c r="D30" s="237" t="s">
        <v>49</v>
      </c>
      <c r="E30" s="237"/>
      <c r="F30" s="23">
        <v>1010.33</v>
      </c>
      <c r="G30" s="24"/>
      <c r="H30" s="24"/>
      <c r="AN30" s="88">
        <v>29</v>
      </c>
      <c r="AO30" s="88" t="s">
        <v>51</v>
      </c>
      <c r="AP30" s="94">
        <v>24</v>
      </c>
      <c r="AQ30" s="94">
        <v>30</v>
      </c>
      <c r="AR30" s="94">
        <v>30</v>
      </c>
      <c r="AS30" s="94">
        <v>5</v>
      </c>
      <c r="AT30" s="94">
        <v>0</v>
      </c>
      <c r="AU30" s="94">
        <v>0</v>
      </c>
    </row>
    <row r="31" spans="2:47" s="8" customFormat="1" ht="26.25" thickBot="1" x14ac:dyDescent="0.25">
      <c r="B31" s="6"/>
      <c r="F31" s="6">
        <v>789.27</v>
      </c>
      <c r="AN31" s="88">
        <v>30</v>
      </c>
      <c r="AO31" s="98" t="s">
        <v>52</v>
      </c>
      <c r="AP31" s="94">
        <v>24</v>
      </c>
      <c r="AQ31" s="94">
        <v>30</v>
      </c>
      <c r="AR31" s="94">
        <v>30</v>
      </c>
      <c r="AS31" s="94">
        <v>35</v>
      </c>
      <c r="AT31" s="94">
        <v>35</v>
      </c>
      <c r="AU31" s="94">
        <v>35</v>
      </c>
    </row>
    <row r="32" spans="2:47" s="8" customFormat="1" ht="38.25" customHeight="1" thickBot="1" x14ac:dyDescent="0.25">
      <c r="B32" s="6"/>
      <c r="C32" s="214" t="s">
        <v>125</v>
      </c>
      <c r="D32" s="214"/>
      <c r="E32" s="214"/>
      <c r="F32" s="25">
        <v>1010.33</v>
      </c>
      <c r="G32" s="238" t="s">
        <v>126</v>
      </c>
      <c r="H32" s="238"/>
      <c r="AN32" s="88">
        <v>31</v>
      </c>
      <c r="AO32" s="88" t="s">
        <v>53</v>
      </c>
      <c r="AP32" s="89" t="s">
        <v>113</v>
      </c>
      <c r="AQ32" s="89" t="s">
        <v>113</v>
      </c>
      <c r="AR32" s="89" t="s">
        <v>113</v>
      </c>
      <c r="AS32" s="89">
        <v>0</v>
      </c>
      <c r="AT32" s="89" t="s">
        <v>113</v>
      </c>
      <c r="AU32" s="89" t="s">
        <v>113</v>
      </c>
    </row>
    <row r="33" spans="1:47" s="8" customFormat="1" ht="12.75" x14ac:dyDescent="0.2">
      <c r="B33" s="6"/>
      <c r="C33" s="215"/>
      <c r="D33" s="239"/>
      <c r="E33" s="239"/>
      <c r="F33" s="239"/>
      <c r="AN33" s="88">
        <v>32</v>
      </c>
      <c r="AO33" s="88" t="s">
        <v>57</v>
      </c>
      <c r="AP33" s="89"/>
      <c r="AQ33" s="89" t="s">
        <v>113</v>
      </c>
      <c r="AR33" s="89" t="s">
        <v>113</v>
      </c>
      <c r="AS33" s="89">
        <v>0</v>
      </c>
      <c r="AT33" s="89" t="s">
        <v>113</v>
      </c>
      <c r="AU33" s="89" t="s">
        <v>113</v>
      </c>
    </row>
    <row r="34" spans="1:47" s="8" customFormat="1" ht="52.5" customHeight="1" x14ac:dyDescent="0.2">
      <c r="B34" s="6"/>
      <c r="C34" s="26"/>
      <c r="D34" s="27" t="s">
        <v>54</v>
      </c>
      <c r="E34" s="28" t="s">
        <v>55</v>
      </c>
      <c r="F34" s="27" t="s">
        <v>56</v>
      </c>
      <c r="G34" s="27" t="s">
        <v>127</v>
      </c>
      <c r="AN34" s="88">
        <v>33</v>
      </c>
      <c r="AO34" s="88" t="s">
        <v>58</v>
      </c>
      <c r="AP34" s="89"/>
      <c r="AQ34" s="89"/>
      <c r="AR34" s="89" t="s">
        <v>113</v>
      </c>
      <c r="AS34" s="89">
        <v>860.33</v>
      </c>
      <c r="AT34" s="89" t="s">
        <v>113</v>
      </c>
      <c r="AU34" s="89" t="s">
        <v>113</v>
      </c>
    </row>
    <row r="35" spans="1:47" s="8" customFormat="1" ht="34.5" customHeight="1" x14ac:dyDescent="0.2">
      <c r="B35" s="6"/>
      <c r="C35" s="29" t="s">
        <v>2</v>
      </c>
      <c r="D35" s="30">
        <v>5</v>
      </c>
      <c r="E35" s="31">
        <v>0</v>
      </c>
      <c r="F35" s="32">
        <v>5</v>
      </c>
      <c r="G35" s="33">
        <v>1500</v>
      </c>
      <c r="AN35" s="88">
        <v>34</v>
      </c>
      <c r="AO35" s="88" t="s">
        <v>59</v>
      </c>
      <c r="AP35" s="89"/>
      <c r="AQ35" s="89"/>
      <c r="AR35" s="89"/>
      <c r="AS35" s="89">
        <v>150</v>
      </c>
      <c r="AT35" s="89" t="s">
        <v>113</v>
      </c>
      <c r="AU35" s="89" t="s">
        <v>113</v>
      </c>
    </row>
    <row r="36" spans="1:47" s="8" customFormat="1" ht="7.5" customHeight="1" x14ac:dyDescent="0.2">
      <c r="B36" s="6"/>
      <c r="C36" s="99"/>
      <c r="D36" s="100"/>
      <c r="E36" s="100"/>
      <c r="AN36" s="88">
        <v>35</v>
      </c>
      <c r="AO36" s="88" t="s">
        <v>62</v>
      </c>
      <c r="AP36" s="89"/>
      <c r="AQ36" s="89"/>
      <c r="AR36" s="89"/>
      <c r="AS36" s="89"/>
      <c r="AT36" s="89" t="s">
        <v>113</v>
      </c>
      <c r="AU36" s="89" t="s">
        <v>113</v>
      </c>
    </row>
    <row r="37" spans="1:47" s="8" customFormat="1" ht="25.5" customHeight="1" x14ac:dyDescent="0.2">
      <c r="B37" s="6"/>
      <c r="C37" s="95" t="s">
        <v>60</v>
      </c>
      <c r="D37" s="198"/>
      <c r="F37" s="102" t="s">
        <v>61</v>
      </c>
      <c r="G37" s="92">
        <v>0</v>
      </c>
      <c r="H37" s="24" t="s">
        <v>128</v>
      </c>
      <c r="AN37" s="88">
        <v>36</v>
      </c>
      <c r="AO37" s="88" t="s">
        <v>65</v>
      </c>
      <c r="AP37" s="89"/>
      <c r="AQ37" s="89"/>
      <c r="AR37" s="89"/>
      <c r="AS37" s="89"/>
      <c r="AT37" s="89"/>
      <c r="AU37" s="89" t="s">
        <v>113</v>
      </c>
    </row>
    <row r="38" spans="1:47" s="8" customFormat="1" ht="42" customHeight="1" x14ac:dyDescent="0.2">
      <c r="B38" s="6"/>
      <c r="C38" s="103" t="s">
        <v>63</v>
      </c>
      <c r="D38" s="198"/>
      <c r="E38" s="34" t="s">
        <v>113</v>
      </c>
      <c r="F38" s="102" t="s">
        <v>64</v>
      </c>
      <c r="G38" s="92">
        <v>0</v>
      </c>
      <c r="H38" s="24" t="s">
        <v>129</v>
      </c>
      <c r="AN38" s="88">
        <v>37</v>
      </c>
      <c r="AO38" s="88" t="s">
        <v>66</v>
      </c>
      <c r="AP38" s="88" t="s">
        <v>113</v>
      </c>
      <c r="AQ38" s="88" t="s">
        <v>113</v>
      </c>
      <c r="AR38" s="88" t="s">
        <v>113</v>
      </c>
      <c r="AS38" s="88" t="s">
        <v>130</v>
      </c>
      <c r="AT38" s="88" t="s">
        <v>113</v>
      </c>
      <c r="AU38" s="88" t="s">
        <v>113</v>
      </c>
    </row>
    <row r="39" spans="1:47" s="8" customFormat="1" ht="6" customHeight="1" x14ac:dyDescent="0.2">
      <c r="B39" s="6"/>
      <c r="C39" s="99"/>
      <c r="D39" s="104"/>
      <c r="E39" s="100"/>
      <c r="F39" s="105"/>
      <c r="G39" s="106"/>
      <c r="AN39" s="88">
        <v>38</v>
      </c>
      <c r="AO39" s="88" t="s">
        <v>70</v>
      </c>
      <c r="AP39" s="88"/>
      <c r="AQ39" s="88" t="s">
        <v>113</v>
      </c>
      <c r="AR39" s="88" t="s">
        <v>113</v>
      </c>
      <c r="AS39" s="88" t="s">
        <v>131</v>
      </c>
      <c r="AT39" s="88" t="s">
        <v>113</v>
      </c>
      <c r="AU39" s="88" t="s">
        <v>113</v>
      </c>
    </row>
    <row r="40" spans="1:47" s="8" customFormat="1" ht="24.75" customHeight="1" x14ac:dyDescent="0.2">
      <c r="B40" s="6"/>
      <c r="C40" s="29" t="s">
        <v>67</v>
      </c>
      <c r="D40" s="30">
        <v>5</v>
      </c>
      <c r="E40" s="99" t="s">
        <v>68</v>
      </c>
      <c r="F40" s="30">
        <v>5</v>
      </c>
      <c r="G40" s="106"/>
      <c r="J40" s="230" t="s">
        <v>69</v>
      </c>
      <c r="K40" s="230"/>
      <c r="L40" s="230"/>
      <c r="M40" s="230"/>
      <c r="N40" s="230"/>
      <c r="AN40" s="88">
        <v>39</v>
      </c>
      <c r="AO40" s="88" t="s">
        <v>71</v>
      </c>
      <c r="AP40" s="88"/>
      <c r="AQ40" s="88"/>
      <c r="AR40" s="88" t="s">
        <v>113</v>
      </c>
      <c r="AS40" s="88" t="s">
        <v>132</v>
      </c>
      <c r="AT40" s="88" t="s">
        <v>113</v>
      </c>
      <c r="AU40" s="88" t="s">
        <v>113</v>
      </c>
    </row>
    <row r="41" spans="1:47" s="8" customFormat="1" ht="24.75" customHeight="1" x14ac:dyDescent="0.2">
      <c r="B41" s="6"/>
      <c r="C41" s="107"/>
      <c r="D41" s="35"/>
      <c r="E41" s="99"/>
      <c r="F41" s="35"/>
      <c r="G41" s="106"/>
      <c r="AN41" s="88">
        <v>40</v>
      </c>
      <c r="AO41" s="88" t="s">
        <v>78</v>
      </c>
      <c r="AP41" s="88"/>
      <c r="AQ41" s="88"/>
      <c r="AR41" s="88"/>
      <c r="AS41" s="88" t="s">
        <v>133</v>
      </c>
      <c r="AT41" s="88" t="s">
        <v>113</v>
      </c>
      <c r="AU41" s="88" t="s">
        <v>113</v>
      </c>
    </row>
    <row r="42" spans="1:47" s="8" customFormat="1" ht="76.5" x14ac:dyDescent="0.2">
      <c r="B42" s="6"/>
      <c r="C42" s="27" t="s">
        <v>117</v>
      </c>
      <c r="D42" s="27" t="s">
        <v>72</v>
      </c>
      <c r="E42" s="28" t="s">
        <v>73</v>
      </c>
      <c r="F42" s="105"/>
      <c r="G42" s="27" t="s">
        <v>134</v>
      </c>
      <c r="H42" s="27" t="s">
        <v>74</v>
      </c>
      <c r="J42" s="98" t="s">
        <v>75</v>
      </c>
      <c r="K42" s="98" t="s">
        <v>76</v>
      </c>
      <c r="M42" s="98" t="s">
        <v>135</v>
      </c>
      <c r="AB42" s="108" t="s">
        <v>77</v>
      </c>
      <c r="AN42" s="88">
        <v>41</v>
      </c>
      <c r="AO42" s="88" t="s">
        <v>79</v>
      </c>
      <c r="AP42" s="88"/>
      <c r="AQ42" s="88"/>
      <c r="AR42" s="88"/>
      <c r="AS42" s="88"/>
      <c r="AT42" s="88" t="s">
        <v>113</v>
      </c>
      <c r="AU42" s="88" t="s">
        <v>113</v>
      </c>
    </row>
    <row r="43" spans="1:47" s="8" customFormat="1" ht="14.25" customHeight="1" x14ac:dyDescent="0.2">
      <c r="A43" s="36">
        <v>44713</v>
      </c>
      <c r="B43" s="1">
        <v>44713</v>
      </c>
      <c r="C43" s="88" t="s">
        <v>136</v>
      </c>
      <c r="D43" s="198"/>
      <c r="E43" s="199"/>
      <c r="G43" s="200"/>
      <c r="H43" s="201"/>
      <c r="J43" s="88" t="s">
        <v>136</v>
      </c>
      <c r="K43" s="198"/>
      <c r="M43" s="200"/>
      <c r="AB43" s="8" t="s">
        <v>109</v>
      </c>
      <c r="AN43" s="88">
        <v>42</v>
      </c>
      <c r="AO43" s="88" t="s">
        <v>80</v>
      </c>
      <c r="AP43" s="88"/>
      <c r="AQ43" s="88"/>
      <c r="AR43" s="88"/>
      <c r="AS43" s="88"/>
      <c r="AT43" s="88"/>
      <c r="AU43" s="88" t="s">
        <v>113</v>
      </c>
    </row>
    <row r="44" spans="1:47" s="8" customFormat="1" ht="13.5" customHeight="1" x14ac:dyDescent="0.2">
      <c r="A44" s="36">
        <v>44743</v>
      </c>
      <c r="B44" s="1">
        <v>44743</v>
      </c>
      <c r="C44" s="88" t="s">
        <v>137</v>
      </c>
      <c r="D44" s="198"/>
      <c r="E44" s="199"/>
      <c r="G44" s="200"/>
      <c r="H44" s="201"/>
      <c r="J44" s="88" t="s">
        <v>137</v>
      </c>
      <c r="K44" s="198"/>
      <c r="M44" s="200"/>
      <c r="AB44" s="8" t="s">
        <v>109</v>
      </c>
      <c r="AN44" s="111"/>
      <c r="AO44" s="111"/>
      <c r="AP44" s="111"/>
      <c r="AQ44" s="111"/>
      <c r="AR44" s="111"/>
      <c r="AS44" s="111"/>
      <c r="AT44" s="111"/>
    </row>
    <row r="45" spans="1:47" s="8" customFormat="1" ht="13.5" customHeight="1" x14ac:dyDescent="0.2">
      <c r="A45" s="36">
        <v>44774</v>
      </c>
      <c r="B45" s="1">
        <v>44774</v>
      </c>
      <c r="C45" s="88" t="s">
        <v>138</v>
      </c>
      <c r="D45" s="198"/>
      <c r="E45" s="199"/>
      <c r="G45" s="200"/>
      <c r="H45" s="201"/>
      <c r="J45" s="88" t="s">
        <v>138</v>
      </c>
      <c r="K45" s="198"/>
      <c r="M45" s="200"/>
      <c r="AB45" s="8" t="s">
        <v>109</v>
      </c>
      <c r="AN45" s="111"/>
      <c r="AO45" s="111"/>
      <c r="AP45" s="111"/>
      <c r="AQ45" s="111"/>
      <c r="AR45" s="111"/>
      <c r="AS45" s="111"/>
      <c r="AT45" s="111"/>
      <c r="AU45" s="111"/>
    </row>
    <row r="46" spans="1:47" s="8" customFormat="1" ht="13.5" customHeight="1" x14ac:dyDescent="0.2">
      <c r="A46" s="36">
        <v>44805</v>
      </c>
      <c r="B46" s="1">
        <v>44805</v>
      </c>
      <c r="C46" s="88" t="s">
        <v>139</v>
      </c>
      <c r="D46" s="198">
        <v>2.5</v>
      </c>
      <c r="E46" s="199"/>
      <c r="G46" s="200">
        <v>693.33</v>
      </c>
      <c r="H46" s="201"/>
      <c r="J46" s="88" t="s">
        <v>139</v>
      </c>
      <c r="K46" s="198"/>
      <c r="M46" s="200"/>
      <c r="AB46" s="8" t="s">
        <v>110</v>
      </c>
      <c r="AN46" s="111"/>
      <c r="AO46" s="111"/>
      <c r="AP46" s="111"/>
      <c r="AQ46" s="111"/>
      <c r="AR46" s="111"/>
      <c r="AS46" s="111"/>
      <c r="AT46" s="111"/>
      <c r="AU46" s="111"/>
    </row>
    <row r="47" spans="1:47" s="8" customFormat="1" ht="13.5" customHeight="1" x14ac:dyDescent="0.2">
      <c r="A47" s="36">
        <v>44835</v>
      </c>
      <c r="B47" s="1">
        <v>44835</v>
      </c>
      <c r="C47" s="88" t="s">
        <v>140</v>
      </c>
      <c r="D47" s="198">
        <v>2.5</v>
      </c>
      <c r="E47" s="199"/>
      <c r="G47" s="200">
        <v>693.33</v>
      </c>
      <c r="H47" s="201"/>
      <c r="J47" s="88" t="s">
        <v>140</v>
      </c>
      <c r="K47" s="198"/>
      <c r="M47" s="200"/>
      <c r="AB47" s="8" t="s">
        <v>110</v>
      </c>
      <c r="AN47" s="111"/>
      <c r="AO47" s="111"/>
      <c r="AP47" s="111"/>
      <c r="AQ47" s="111"/>
      <c r="AR47" s="111"/>
      <c r="AS47" s="111"/>
      <c r="AT47" s="111"/>
      <c r="AU47" s="111"/>
    </row>
    <row r="48" spans="1:47" s="8" customFormat="1" ht="13.5" customHeight="1" x14ac:dyDescent="0.2">
      <c r="A48" s="36">
        <v>44866</v>
      </c>
      <c r="B48" s="1">
        <v>44866</v>
      </c>
      <c r="C48" s="88" t="s">
        <v>141</v>
      </c>
      <c r="D48" s="198">
        <v>2.5</v>
      </c>
      <c r="E48" s="199"/>
      <c r="G48" s="200">
        <v>693.33</v>
      </c>
      <c r="H48" s="201"/>
      <c r="J48" s="88" t="s">
        <v>141</v>
      </c>
      <c r="K48" s="198"/>
      <c r="M48" s="200"/>
      <c r="AB48" s="8" t="s">
        <v>110</v>
      </c>
      <c r="AN48" s="111"/>
      <c r="AO48" s="111"/>
      <c r="AP48" s="111"/>
      <c r="AQ48" s="111"/>
      <c r="AR48" s="111"/>
      <c r="AS48" s="111"/>
      <c r="AT48" s="111"/>
      <c r="AU48" s="111"/>
    </row>
    <row r="49" spans="1:29" s="8" customFormat="1" ht="13.5" customHeight="1" x14ac:dyDescent="0.2">
      <c r="A49" s="36">
        <v>44896</v>
      </c>
      <c r="B49" s="1">
        <v>44896</v>
      </c>
      <c r="C49" s="88" t="s">
        <v>142</v>
      </c>
      <c r="D49" s="198">
        <v>1.9230769230769231</v>
      </c>
      <c r="E49" s="199"/>
      <c r="G49" s="200">
        <v>533.33076923076919</v>
      </c>
      <c r="H49" s="201" t="s">
        <v>107</v>
      </c>
      <c r="J49" s="88" t="s">
        <v>142</v>
      </c>
      <c r="K49" s="198"/>
      <c r="M49" s="200"/>
      <c r="AB49" s="8" t="s">
        <v>110</v>
      </c>
    </row>
    <row r="50" spans="1:29" s="8" customFormat="1" ht="13.5" customHeight="1" x14ac:dyDescent="0.2">
      <c r="A50" s="36">
        <v>44927</v>
      </c>
      <c r="B50" s="1">
        <v>44927</v>
      </c>
      <c r="C50" s="88" t="s">
        <v>143</v>
      </c>
      <c r="D50" s="198">
        <v>2.5</v>
      </c>
      <c r="E50" s="199"/>
      <c r="G50" s="200">
        <v>693.33</v>
      </c>
      <c r="H50" s="201"/>
      <c r="J50" s="88" t="s">
        <v>143</v>
      </c>
      <c r="K50" s="198"/>
      <c r="M50" s="200"/>
      <c r="AB50" s="8" t="s">
        <v>110</v>
      </c>
    </row>
    <row r="51" spans="1:29" s="8" customFormat="1" ht="13.5" customHeight="1" x14ac:dyDescent="0.2">
      <c r="A51" s="36">
        <v>44958</v>
      </c>
      <c r="B51" s="1">
        <v>44958</v>
      </c>
      <c r="C51" s="88" t="s">
        <v>144</v>
      </c>
      <c r="D51" s="198">
        <v>2.5</v>
      </c>
      <c r="E51" s="199"/>
      <c r="G51" s="200">
        <v>693.33</v>
      </c>
      <c r="H51" s="201"/>
      <c r="J51" s="88" t="s">
        <v>144</v>
      </c>
      <c r="K51" s="198"/>
      <c r="M51" s="200"/>
      <c r="AB51" s="8" t="s">
        <v>110</v>
      </c>
    </row>
    <row r="52" spans="1:29" s="8" customFormat="1" ht="13.5" customHeight="1" x14ac:dyDescent="0.2">
      <c r="A52" s="36">
        <v>44986</v>
      </c>
      <c r="B52" s="1">
        <v>44986</v>
      </c>
      <c r="C52" s="88" t="s">
        <v>145</v>
      </c>
      <c r="D52" s="198">
        <v>2.5</v>
      </c>
      <c r="E52" s="199"/>
      <c r="G52" s="200">
        <v>693.33</v>
      </c>
      <c r="H52" s="201"/>
      <c r="J52" s="88" t="s">
        <v>145</v>
      </c>
      <c r="K52" s="198"/>
      <c r="M52" s="200"/>
      <c r="AB52" s="8" t="s">
        <v>110</v>
      </c>
    </row>
    <row r="53" spans="1:29" s="8" customFormat="1" ht="13.5" customHeight="1" x14ac:dyDescent="0.2">
      <c r="A53" s="36">
        <v>45017</v>
      </c>
      <c r="B53" s="1">
        <v>45017</v>
      </c>
      <c r="C53" s="88" t="s">
        <v>146</v>
      </c>
      <c r="D53" s="198">
        <v>2.5</v>
      </c>
      <c r="E53" s="199"/>
      <c r="G53" s="200">
        <v>693.33</v>
      </c>
      <c r="H53" s="201"/>
      <c r="J53" s="88" t="s">
        <v>146</v>
      </c>
      <c r="K53" s="198"/>
      <c r="M53" s="200"/>
      <c r="AB53" s="8" t="s">
        <v>110</v>
      </c>
    </row>
    <row r="54" spans="1:29" s="8" customFormat="1" ht="13.5" customHeight="1" x14ac:dyDescent="0.2">
      <c r="A54" s="36">
        <v>45047</v>
      </c>
      <c r="B54" s="1">
        <v>45047</v>
      </c>
      <c r="C54" s="88" t="s">
        <v>147</v>
      </c>
      <c r="D54" s="198">
        <v>2.5</v>
      </c>
      <c r="E54" s="199"/>
      <c r="G54" s="200">
        <v>693.33</v>
      </c>
      <c r="H54" s="201"/>
      <c r="J54" s="88" t="s">
        <v>147</v>
      </c>
      <c r="K54" s="198"/>
      <c r="M54" s="200"/>
      <c r="AB54" s="8" t="s">
        <v>110</v>
      </c>
      <c r="AC54" s="8" t="s">
        <v>81</v>
      </c>
    </row>
    <row r="55" spans="1:29" s="8" customFormat="1" ht="12.75" x14ac:dyDescent="0.2">
      <c r="A55" s="4"/>
      <c r="B55" s="6"/>
      <c r="C55" s="38" t="s">
        <v>82</v>
      </c>
      <c r="D55" s="39">
        <v>0</v>
      </c>
      <c r="G55" s="40">
        <v>0</v>
      </c>
    </row>
    <row r="56" spans="1:29" s="8" customFormat="1" ht="13.5" customHeight="1" x14ac:dyDescent="0.2">
      <c r="A56" s="36"/>
      <c r="B56" s="1"/>
      <c r="C56" s="41" t="s">
        <v>83</v>
      </c>
      <c r="D56" s="202">
        <v>2</v>
      </c>
      <c r="E56" s="203" t="s">
        <v>113</v>
      </c>
      <c r="G56" s="112">
        <v>552.72461538461539</v>
      </c>
      <c r="H56" s="113" t="s">
        <v>148</v>
      </c>
      <c r="AC56" s="8" t="s">
        <v>110</v>
      </c>
    </row>
    <row r="57" spans="1:29" s="8" customFormat="1" ht="40.5" customHeight="1" thickBot="1" x14ac:dyDescent="0.25">
      <c r="A57" s="36"/>
      <c r="B57" s="1"/>
      <c r="C57" s="44" t="s">
        <v>84</v>
      </c>
      <c r="D57" s="45">
        <v>24</v>
      </c>
      <c r="E57" s="46">
        <v>0</v>
      </c>
      <c r="G57" s="47">
        <v>6632.6953846153847</v>
      </c>
      <c r="H57" s="114"/>
      <c r="K57" s="39">
        <v>0</v>
      </c>
      <c r="M57" s="48">
        <v>0</v>
      </c>
    </row>
    <row r="58" spans="1:29" s="8" customFormat="1" ht="30" customHeight="1" thickBot="1" x14ac:dyDescent="0.25">
      <c r="A58" s="36"/>
      <c r="B58" s="1"/>
      <c r="C58" s="49" t="s">
        <v>85</v>
      </c>
      <c r="D58" s="50">
        <v>24</v>
      </c>
      <c r="E58" s="51">
        <v>0</v>
      </c>
      <c r="G58" s="52">
        <v>6632.6953846153847</v>
      </c>
      <c r="H58" s="114"/>
    </row>
    <row r="59" spans="1:29" s="8" customFormat="1" ht="13.5" customHeight="1" thickBot="1" x14ac:dyDescent="0.25">
      <c r="A59" s="36"/>
      <c r="B59" s="1"/>
      <c r="C59" s="231"/>
      <c r="D59" s="231"/>
      <c r="E59" s="115"/>
      <c r="G59" s="116"/>
      <c r="H59" s="114"/>
      <c r="I59" s="93"/>
      <c r="O59" s="117"/>
    </row>
    <row r="60" spans="1:29" s="8" customFormat="1" ht="13.5" customHeight="1" thickBot="1" x14ac:dyDescent="0.25">
      <c r="A60" s="36"/>
      <c r="B60" s="1"/>
      <c r="C60" s="232" t="s">
        <v>149</v>
      </c>
      <c r="D60" s="233"/>
      <c r="E60" s="53">
        <v>0</v>
      </c>
      <c r="G60" s="54">
        <v>24</v>
      </c>
      <c r="H60" s="55" t="s">
        <v>150</v>
      </c>
      <c r="K60" s="13"/>
      <c r="L60" s="13"/>
      <c r="M60" s="13"/>
      <c r="AB60" s="8" t="s">
        <v>86</v>
      </c>
      <c r="AC60" s="8" t="s">
        <v>109</v>
      </c>
    </row>
    <row r="61" spans="1:29" s="8" customFormat="1" ht="13.5" customHeight="1" x14ac:dyDescent="0.2">
      <c r="A61" s="36"/>
      <c r="B61" s="1"/>
      <c r="C61" s="111"/>
      <c r="D61" s="104"/>
      <c r="E61" s="56"/>
      <c r="G61" s="116"/>
      <c r="H61" s="114"/>
      <c r="J61" s="111"/>
      <c r="K61" s="104"/>
      <c r="M61" s="116"/>
    </row>
    <row r="62" spans="1:29" s="8" customFormat="1" ht="76.5" x14ac:dyDescent="0.2">
      <c r="A62" s="4"/>
      <c r="B62" s="6"/>
      <c r="C62" s="27" t="s">
        <v>119</v>
      </c>
      <c r="D62" s="27" t="s">
        <v>72</v>
      </c>
      <c r="E62" s="28" t="s">
        <v>87</v>
      </c>
      <c r="F62" s="105"/>
      <c r="G62" s="27" t="s">
        <v>134</v>
      </c>
      <c r="H62" s="27" t="s">
        <v>74</v>
      </c>
      <c r="J62" s="98" t="s">
        <v>75</v>
      </c>
      <c r="K62" s="98" t="s">
        <v>76</v>
      </c>
      <c r="M62" s="98" t="s">
        <v>135</v>
      </c>
      <c r="AB62" s="108" t="s">
        <v>77</v>
      </c>
    </row>
    <row r="63" spans="1:29" s="8" customFormat="1" ht="13.5" customHeight="1" x14ac:dyDescent="0.2">
      <c r="A63" s="36">
        <v>45078</v>
      </c>
      <c r="B63" s="1">
        <v>45078</v>
      </c>
      <c r="C63" s="88" t="s">
        <v>151</v>
      </c>
      <c r="D63" s="198">
        <v>2.5</v>
      </c>
      <c r="E63" s="199"/>
      <c r="G63" s="200">
        <v>693.33</v>
      </c>
      <c r="H63" s="201"/>
      <c r="J63" s="88" t="s">
        <v>151</v>
      </c>
      <c r="K63" s="198"/>
      <c r="M63" s="200"/>
      <c r="AB63" s="8" t="s">
        <v>110</v>
      </c>
    </row>
    <row r="64" spans="1:29" s="8" customFormat="1" ht="13.5" customHeight="1" x14ac:dyDescent="0.2">
      <c r="A64" s="36">
        <v>45108</v>
      </c>
      <c r="B64" s="1">
        <v>45108</v>
      </c>
      <c r="C64" s="88" t="s">
        <v>152</v>
      </c>
      <c r="D64" s="198">
        <v>2.5</v>
      </c>
      <c r="E64" s="199"/>
      <c r="G64" s="200">
        <v>693.33</v>
      </c>
      <c r="H64" s="201"/>
      <c r="J64" s="88" t="s">
        <v>152</v>
      </c>
      <c r="K64" s="198"/>
      <c r="M64" s="200"/>
      <c r="AB64" s="8" t="s">
        <v>110</v>
      </c>
    </row>
    <row r="65" spans="1:29" s="8" customFormat="1" ht="13.5" customHeight="1" x14ac:dyDescent="0.2">
      <c r="A65" s="36">
        <v>45139</v>
      </c>
      <c r="B65" s="1">
        <v>45139</v>
      </c>
      <c r="C65" s="88" t="s">
        <v>153</v>
      </c>
      <c r="D65" s="198">
        <v>2.5</v>
      </c>
      <c r="E65" s="199">
        <v>23</v>
      </c>
      <c r="G65" s="200">
        <v>693.33</v>
      </c>
      <c r="H65" s="201"/>
      <c r="J65" s="88" t="s">
        <v>153</v>
      </c>
      <c r="K65" s="198"/>
      <c r="M65" s="200"/>
      <c r="AB65" s="8" t="s">
        <v>110</v>
      </c>
    </row>
    <row r="66" spans="1:29" s="8" customFormat="1" ht="13.5" customHeight="1" x14ac:dyDescent="0.2">
      <c r="A66" s="36">
        <v>45170</v>
      </c>
      <c r="B66" s="1">
        <v>45170</v>
      </c>
      <c r="C66" s="88" t="s">
        <v>154</v>
      </c>
      <c r="D66" s="198">
        <v>2.5</v>
      </c>
      <c r="E66" s="199"/>
      <c r="G66" s="200">
        <v>693.33</v>
      </c>
      <c r="H66" s="201"/>
      <c r="J66" s="88" t="s">
        <v>154</v>
      </c>
      <c r="K66" s="198"/>
      <c r="M66" s="200"/>
      <c r="AB66" s="8" t="s">
        <v>110</v>
      </c>
    </row>
    <row r="67" spans="1:29" s="8" customFormat="1" ht="13.5" customHeight="1" x14ac:dyDescent="0.2">
      <c r="A67" s="36">
        <v>45200</v>
      </c>
      <c r="B67" s="1">
        <v>45200</v>
      </c>
      <c r="C67" s="88" t="s">
        <v>155</v>
      </c>
      <c r="D67" s="198">
        <v>2.5</v>
      </c>
      <c r="E67" s="199"/>
      <c r="G67" s="200">
        <v>693.33</v>
      </c>
      <c r="H67" s="201"/>
      <c r="J67" s="88" t="s">
        <v>155</v>
      </c>
      <c r="K67" s="198"/>
      <c r="M67" s="200"/>
      <c r="AB67" s="8" t="s">
        <v>110</v>
      </c>
    </row>
    <row r="68" spans="1:29" s="8" customFormat="1" ht="13.5" customHeight="1" x14ac:dyDescent="0.2">
      <c r="A68" s="36">
        <v>45231</v>
      </c>
      <c r="B68" s="1">
        <v>45231</v>
      </c>
      <c r="C68" s="88" t="s">
        <v>156</v>
      </c>
      <c r="D68" s="198">
        <v>2.5</v>
      </c>
      <c r="E68" s="199"/>
      <c r="G68" s="200">
        <v>693.33</v>
      </c>
      <c r="H68" s="201"/>
      <c r="J68" s="88" t="s">
        <v>156</v>
      </c>
      <c r="K68" s="198"/>
      <c r="M68" s="200"/>
      <c r="AB68" s="8" t="s">
        <v>110</v>
      </c>
    </row>
    <row r="69" spans="1:29" s="8" customFormat="1" ht="13.5" customHeight="1" x14ac:dyDescent="0.2">
      <c r="A69" s="36">
        <v>45261</v>
      </c>
      <c r="B69" s="1">
        <v>45261</v>
      </c>
      <c r="C69" s="88" t="s">
        <v>157</v>
      </c>
      <c r="D69" s="198">
        <v>2.1153846153846154</v>
      </c>
      <c r="E69" s="199">
        <v>1</v>
      </c>
      <c r="G69" s="200">
        <v>586.66384615384618</v>
      </c>
      <c r="H69" s="201"/>
      <c r="J69" s="88" t="s">
        <v>157</v>
      </c>
      <c r="K69" s="198"/>
      <c r="M69" s="200"/>
      <c r="AB69" s="8" t="s">
        <v>110</v>
      </c>
    </row>
    <row r="70" spans="1:29" s="8" customFormat="1" ht="13.5" customHeight="1" x14ac:dyDescent="0.2">
      <c r="A70" s="36">
        <v>45292</v>
      </c>
      <c r="B70" s="1">
        <v>45292</v>
      </c>
      <c r="C70" s="88" t="s">
        <v>158</v>
      </c>
      <c r="D70" s="198">
        <v>2.5</v>
      </c>
      <c r="E70" s="199"/>
      <c r="G70" s="200">
        <v>693.33</v>
      </c>
      <c r="H70" s="201"/>
      <c r="J70" s="88" t="s">
        <v>158</v>
      </c>
      <c r="K70" s="198"/>
      <c r="M70" s="200"/>
      <c r="AB70" s="8" t="s">
        <v>110</v>
      </c>
    </row>
    <row r="71" spans="1:29" s="8" customFormat="1" ht="13.5" customHeight="1" x14ac:dyDescent="0.2">
      <c r="A71" s="36">
        <v>45323</v>
      </c>
      <c r="B71" s="1">
        <v>45323</v>
      </c>
      <c r="C71" s="88" t="s">
        <v>159</v>
      </c>
      <c r="D71" s="198">
        <v>2.5</v>
      </c>
      <c r="E71" s="199"/>
      <c r="G71" s="200">
        <v>693.33</v>
      </c>
      <c r="H71" s="201"/>
      <c r="J71" s="88" t="s">
        <v>159</v>
      </c>
      <c r="K71" s="198"/>
      <c r="M71" s="200"/>
      <c r="AB71" s="8" t="s">
        <v>110</v>
      </c>
    </row>
    <row r="72" spans="1:29" s="8" customFormat="1" ht="13.5" customHeight="1" x14ac:dyDescent="0.2">
      <c r="A72" s="36">
        <v>45352</v>
      </c>
      <c r="B72" s="1">
        <v>45352</v>
      </c>
      <c r="C72" s="88" t="s">
        <v>160</v>
      </c>
      <c r="D72" s="198">
        <v>2.5</v>
      </c>
      <c r="E72" s="199"/>
      <c r="G72" s="200">
        <v>693.33</v>
      </c>
      <c r="H72" s="201"/>
      <c r="J72" s="88" t="s">
        <v>160</v>
      </c>
      <c r="K72" s="198"/>
      <c r="M72" s="200"/>
      <c r="AB72" s="8" t="s">
        <v>110</v>
      </c>
    </row>
    <row r="73" spans="1:29" s="8" customFormat="1" ht="13.5" customHeight="1" x14ac:dyDescent="0.2">
      <c r="A73" s="36">
        <v>45383</v>
      </c>
      <c r="B73" s="1">
        <v>45383</v>
      </c>
      <c r="C73" s="88" t="s">
        <v>161</v>
      </c>
      <c r="D73" s="198">
        <v>2.5</v>
      </c>
      <c r="E73" s="199"/>
      <c r="G73" s="200">
        <v>693.33</v>
      </c>
      <c r="H73" s="201"/>
      <c r="J73" s="88" t="s">
        <v>161</v>
      </c>
      <c r="K73" s="198"/>
      <c r="M73" s="200"/>
      <c r="AB73" s="8" t="s">
        <v>110</v>
      </c>
    </row>
    <row r="74" spans="1:29" s="8" customFormat="1" ht="13.5" customHeight="1" x14ac:dyDescent="0.2">
      <c r="A74" s="36">
        <v>45413</v>
      </c>
      <c r="B74" s="1">
        <v>45413</v>
      </c>
      <c r="C74" s="88" t="s">
        <v>162</v>
      </c>
      <c r="D74" s="198">
        <v>2.5</v>
      </c>
      <c r="E74" s="199"/>
      <c r="G74" s="200">
        <v>693.33</v>
      </c>
      <c r="H74" s="201"/>
      <c r="J74" s="88" t="s">
        <v>162</v>
      </c>
      <c r="K74" s="198"/>
      <c r="M74" s="200"/>
      <c r="AB74" s="8" t="s">
        <v>110</v>
      </c>
      <c r="AC74" s="8" t="s">
        <v>81</v>
      </c>
    </row>
    <row r="75" spans="1:29" s="8" customFormat="1" ht="12.75" x14ac:dyDescent="0.2">
      <c r="A75" s="4"/>
      <c r="B75" s="6"/>
      <c r="C75" s="38" t="s">
        <v>82</v>
      </c>
      <c r="D75" s="39">
        <v>0</v>
      </c>
      <c r="G75" s="40">
        <v>0</v>
      </c>
    </row>
    <row r="76" spans="1:29" s="8" customFormat="1" ht="13.5" customHeight="1" x14ac:dyDescent="0.2">
      <c r="A76" s="36"/>
      <c r="B76" s="1"/>
      <c r="C76" s="41" t="s">
        <v>83</v>
      </c>
      <c r="D76" s="202"/>
      <c r="E76" s="203" t="s">
        <v>113</v>
      </c>
      <c r="G76" s="112">
        <v>0</v>
      </c>
      <c r="H76" s="118" t="s">
        <v>113</v>
      </c>
      <c r="AC76" s="8" t="s">
        <v>110</v>
      </c>
    </row>
    <row r="77" spans="1:29" s="8" customFormat="1" ht="40.5" customHeight="1" thickBot="1" x14ac:dyDescent="0.25">
      <c r="A77" s="36"/>
      <c r="B77" s="1"/>
      <c r="C77" s="44" t="s">
        <v>84</v>
      </c>
      <c r="D77" s="45">
        <v>30</v>
      </c>
      <c r="E77" s="46">
        <v>24</v>
      </c>
      <c r="G77" s="57">
        <v>8213.293846153847</v>
      </c>
      <c r="H77" s="114"/>
      <c r="K77" s="39">
        <v>0</v>
      </c>
      <c r="M77" s="48">
        <v>0</v>
      </c>
    </row>
    <row r="78" spans="1:29" s="8" customFormat="1" ht="29.25" customHeight="1" thickBot="1" x14ac:dyDescent="0.25">
      <c r="A78" s="36"/>
      <c r="B78" s="1"/>
      <c r="C78" s="49" t="s">
        <v>85</v>
      </c>
      <c r="D78" s="50">
        <v>54</v>
      </c>
      <c r="E78" s="51">
        <v>24</v>
      </c>
      <c r="G78" s="52">
        <v>14845.989230769232</v>
      </c>
      <c r="H78" s="114"/>
      <c r="I78" s="93"/>
    </row>
    <row r="79" spans="1:29" s="8" customFormat="1" ht="9" customHeight="1" thickBot="1" x14ac:dyDescent="0.25">
      <c r="A79" s="36"/>
      <c r="B79" s="1"/>
      <c r="C79" s="58"/>
      <c r="D79" s="59"/>
      <c r="E79" s="60"/>
      <c r="G79" s="61"/>
      <c r="H79" s="114"/>
    </row>
    <row r="80" spans="1:29" s="8" customFormat="1" ht="13.5" customHeight="1" x14ac:dyDescent="0.2">
      <c r="A80" s="36"/>
      <c r="B80" s="1"/>
      <c r="C80" s="221" t="s">
        <v>149</v>
      </c>
      <c r="D80" s="234"/>
      <c r="E80" s="62">
        <v>24</v>
      </c>
      <c r="F80" s="87"/>
      <c r="G80" s="63">
        <v>0</v>
      </c>
      <c r="H80" s="64" t="s">
        <v>150</v>
      </c>
      <c r="K80" s="13"/>
      <c r="L80" s="13"/>
      <c r="M80" s="13"/>
      <c r="AB80" s="8" t="s">
        <v>86</v>
      </c>
      <c r="AC80" s="8" t="s">
        <v>109</v>
      </c>
    </row>
    <row r="81" spans="1:29" s="8" customFormat="1" ht="13.5" customHeight="1" thickBot="1" x14ac:dyDescent="0.25">
      <c r="A81" s="36"/>
      <c r="B81" s="1"/>
      <c r="C81" s="212" t="s">
        <v>163</v>
      </c>
      <c r="D81" s="229"/>
      <c r="E81" s="65">
        <v>0</v>
      </c>
      <c r="F81" s="87"/>
      <c r="G81" s="66">
        <v>30</v>
      </c>
      <c r="H81" s="67" t="s">
        <v>164</v>
      </c>
      <c r="K81" s="13"/>
      <c r="L81" s="13"/>
      <c r="M81" s="13"/>
    </row>
    <row r="82" spans="1:29" s="8" customFormat="1" ht="13.5" customHeight="1" x14ac:dyDescent="0.2">
      <c r="A82" s="36"/>
      <c r="B82" s="1"/>
      <c r="C82" s="111"/>
      <c r="D82" s="104"/>
      <c r="E82" s="56"/>
      <c r="G82" s="116"/>
      <c r="H82" s="114"/>
      <c r="J82" s="111"/>
      <c r="K82" s="104"/>
      <c r="M82" s="116"/>
    </row>
    <row r="83" spans="1:29" s="8" customFormat="1" ht="76.5" x14ac:dyDescent="0.2">
      <c r="A83" s="4"/>
      <c r="B83" s="6"/>
      <c r="C83" s="27" t="s">
        <v>121</v>
      </c>
      <c r="D83" s="27" t="s">
        <v>72</v>
      </c>
      <c r="E83" s="28" t="s">
        <v>87</v>
      </c>
      <c r="F83" s="105"/>
      <c r="G83" s="27" t="s">
        <v>134</v>
      </c>
      <c r="H83" s="27" t="s">
        <v>74</v>
      </c>
      <c r="J83" s="98" t="s">
        <v>75</v>
      </c>
      <c r="K83" s="98" t="s">
        <v>76</v>
      </c>
      <c r="M83" s="98" t="s">
        <v>135</v>
      </c>
      <c r="AB83" s="108" t="s">
        <v>77</v>
      </c>
    </row>
    <row r="84" spans="1:29" s="8" customFormat="1" ht="13.5" customHeight="1" x14ac:dyDescent="0.2">
      <c r="A84" s="36">
        <v>45444</v>
      </c>
      <c r="B84" s="1">
        <v>45444</v>
      </c>
      <c r="C84" s="88" t="s">
        <v>165</v>
      </c>
      <c r="D84" s="198">
        <v>2.5</v>
      </c>
      <c r="E84" s="199"/>
      <c r="G84" s="200">
        <v>693.33</v>
      </c>
      <c r="H84" s="201"/>
      <c r="J84" s="88" t="s">
        <v>165</v>
      </c>
      <c r="K84" s="198"/>
      <c r="M84" s="200"/>
      <c r="AB84" s="8" t="s">
        <v>110</v>
      </c>
    </row>
    <row r="85" spans="1:29" s="8" customFormat="1" ht="13.5" customHeight="1" x14ac:dyDescent="0.2">
      <c r="A85" s="36">
        <v>45474</v>
      </c>
      <c r="B85" s="1">
        <v>45474</v>
      </c>
      <c r="C85" s="88" t="s">
        <v>166</v>
      </c>
      <c r="D85" s="198">
        <v>2.5</v>
      </c>
      <c r="E85" s="199"/>
      <c r="G85" s="200">
        <v>693.33</v>
      </c>
      <c r="H85" s="201"/>
      <c r="J85" s="88" t="s">
        <v>166</v>
      </c>
      <c r="K85" s="198"/>
      <c r="M85" s="200"/>
      <c r="AB85" s="8" t="s">
        <v>110</v>
      </c>
    </row>
    <row r="86" spans="1:29" s="8" customFormat="1" ht="13.5" customHeight="1" x14ac:dyDescent="0.2">
      <c r="A86" s="36">
        <v>45505</v>
      </c>
      <c r="B86" s="1">
        <v>45505</v>
      </c>
      <c r="C86" s="88" t="s">
        <v>167</v>
      </c>
      <c r="D86" s="198">
        <v>2.5</v>
      </c>
      <c r="E86" s="199">
        <v>23</v>
      </c>
      <c r="G86" s="200">
        <v>693.33</v>
      </c>
      <c r="H86" s="201"/>
      <c r="J86" s="88" t="s">
        <v>167</v>
      </c>
      <c r="K86" s="198"/>
      <c r="M86" s="200"/>
      <c r="AB86" s="8" t="s">
        <v>110</v>
      </c>
    </row>
    <row r="87" spans="1:29" s="8" customFormat="1" ht="13.5" customHeight="1" x14ac:dyDescent="0.2">
      <c r="A87" s="36">
        <v>45536</v>
      </c>
      <c r="B87" s="1">
        <v>45536</v>
      </c>
      <c r="C87" s="88" t="s">
        <v>168</v>
      </c>
      <c r="D87" s="198">
        <v>2.5</v>
      </c>
      <c r="E87" s="199"/>
      <c r="G87" s="200">
        <v>693.33</v>
      </c>
      <c r="H87" s="201"/>
      <c r="J87" s="88" t="s">
        <v>168</v>
      </c>
      <c r="K87" s="198"/>
      <c r="M87" s="200"/>
      <c r="AB87" s="8" t="s">
        <v>110</v>
      </c>
    </row>
    <row r="88" spans="1:29" s="8" customFormat="1" ht="13.5" customHeight="1" x14ac:dyDescent="0.2">
      <c r="A88" s="36">
        <v>45566</v>
      </c>
      <c r="B88" s="1">
        <v>45566</v>
      </c>
      <c r="C88" s="88" t="s">
        <v>169</v>
      </c>
      <c r="D88" s="198">
        <v>2.5</v>
      </c>
      <c r="E88" s="199"/>
      <c r="G88" s="200">
        <v>693.33</v>
      </c>
      <c r="H88" s="201"/>
      <c r="J88" s="88" t="s">
        <v>169</v>
      </c>
      <c r="K88" s="198"/>
      <c r="M88" s="200"/>
      <c r="AB88" s="8" t="s">
        <v>110</v>
      </c>
    </row>
    <row r="89" spans="1:29" s="8" customFormat="1" ht="13.5" customHeight="1" x14ac:dyDescent="0.2">
      <c r="A89" s="36">
        <v>45597</v>
      </c>
      <c r="B89" s="1">
        <v>45597</v>
      </c>
      <c r="C89" s="88" t="s">
        <v>170</v>
      </c>
      <c r="D89" s="198">
        <v>2.5</v>
      </c>
      <c r="E89" s="199"/>
      <c r="G89" s="200">
        <v>693.33</v>
      </c>
      <c r="H89" s="201"/>
      <c r="J89" s="88" t="s">
        <v>170</v>
      </c>
      <c r="K89" s="198"/>
      <c r="M89" s="200"/>
      <c r="AB89" s="8" t="s">
        <v>110</v>
      </c>
    </row>
    <row r="90" spans="1:29" s="8" customFormat="1" ht="13.5" customHeight="1" x14ac:dyDescent="0.2">
      <c r="A90" s="36">
        <v>45627</v>
      </c>
      <c r="B90" s="1">
        <v>45627</v>
      </c>
      <c r="C90" s="88" t="s">
        <v>171</v>
      </c>
      <c r="D90" s="198">
        <v>2.5</v>
      </c>
      <c r="E90" s="199">
        <v>5</v>
      </c>
      <c r="G90" s="200">
        <v>693.33</v>
      </c>
      <c r="H90" s="201"/>
      <c r="J90" s="88" t="s">
        <v>171</v>
      </c>
      <c r="K90" s="198"/>
      <c r="M90" s="200"/>
      <c r="AB90" s="8" t="s">
        <v>110</v>
      </c>
    </row>
    <row r="91" spans="1:29" s="8" customFormat="1" ht="13.5" customHeight="1" x14ac:dyDescent="0.2">
      <c r="A91" s="36">
        <v>45658</v>
      </c>
      <c r="B91" s="1">
        <v>45658</v>
      </c>
      <c r="C91" s="88" t="s">
        <v>172</v>
      </c>
      <c r="D91" s="198">
        <v>2.5</v>
      </c>
      <c r="E91" s="199"/>
      <c r="G91" s="200">
        <v>750</v>
      </c>
      <c r="H91" s="201"/>
      <c r="J91" s="88" t="s">
        <v>172</v>
      </c>
      <c r="K91" s="198"/>
      <c r="M91" s="200"/>
      <c r="AB91" s="8" t="s">
        <v>110</v>
      </c>
    </row>
    <row r="92" spans="1:29" s="8" customFormat="1" ht="13.5" customHeight="1" x14ac:dyDescent="0.2">
      <c r="A92" s="36">
        <v>45689</v>
      </c>
      <c r="B92" s="1">
        <v>45689</v>
      </c>
      <c r="C92" s="88" t="s">
        <v>173</v>
      </c>
      <c r="D92" s="198">
        <v>2.5</v>
      </c>
      <c r="E92" s="199"/>
      <c r="G92" s="200">
        <v>750</v>
      </c>
      <c r="H92" s="201"/>
      <c r="J92" s="88" t="s">
        <v>173</v>
      </c>
      <c r="K92" s="198"/>
      <c r="M92" s="200"/>
      <c r="AB92" s="8" t="s">
        <v>110</v>
      </c>
    </row>
    <row r="93" spans="1:29" s="8" customFormat="1" ht="13.5" customHeight="1" x14ac:dyDescent="0.2">
      <c r="A93" s="36">
        <v>45717</v>
      </c>
      <c r="B93" s="1">
        <v>45717</v>
      </c>
      <c r="C93" s="88" t="s">
        <v>174</v>
      </c>
      <c r="D93" s="198">
        <v>2.5</v>
      </c>
      <c r="E93" s="199">
        <v>2</v>
      </c>
      <c r="G93" s="200">
        <v>750</v>
      </c>
      <c r="H93" s="201"/>
      <c r="J93" s="88" t="s">
        <v>174</v>
      </c>
      <c r="K93" s="198"/>
      <c r="M93" s="200"/>
      <c r="AB93" s="8" t="s">
        <v>110</v>
      </c>
    </row>
    <row r="94" spans="1:29" s="8" customFormat="1" ht="13.5" customHeight="1" x14ac:dyDescent="0.2">
      <c r="A94" s="36">
        <v>45748</v>
      </c>
      <c r="B94" s="1">
        <v>45748</v>
      </c>
      <c r="C94" s="88" t="s">
        <v>175</v>
      </c>
      <c r="D94" s="198">
        <v>2.5</v>
      </c>
      <c r="E94" s="199"/>
      <c r="G94" s="200">
        <v>750</v>
      </c>
      <c r="H94" s="201"/>
      <c r="J94" s="88" t="s">
        <v>175</v>
      </c>
      <c r="K94" s="198"/>
      <c r="M94" s="200"/>
      <c r="AB94" s="8" t="s">
        <v>110</v>
      </c>
    </row>
    <row r="95" spans="1:29" s="8" customFormat="1" ht="13.5" customHeight="1" x14ac:dyDescent="0.2">
      <c r="A95" s="36">
        <v>45778</v>
      </c>
      <c r="B95" s="1">
        <v>45778</v>
      </c>
      <c r="C95" s="88" t="s">
        <v>176</v>
      </c>
      <c r="D95" s="198">
        <v>2.5</v>
      </c>
      <c r="E95" s="199"/>
      <c r="G95" s="200">
        <v>750</v>
      </c>
      <c r="H95" s="201"/>
      <c r="J95" s="88" t="s">
        <v>176</v>
      </c>
      <c r="K95" s="198"/>
      <c r="M95" s="200"/>
      <c r="AB95" s="8" t="s">
        <v>110</v>
      </c>
      <c r="AC95" s="8" t="s">
        <v>81</v>
      </c>
    </row>
    <row r="96" spans="1:29" s="8" customFormat="1" ht="12.75" x14ac:dyDescent="0.2">
      <c r="A96" s="4"/>
      <c r="B96" s="6"/>
      <c r="C96" s="38" t="s">
        <v>82</v>
      </c>
      <c r="D96" s="39">
        <v>0</v>
      </c>
      <c r="G96" s="40">
        <v>0</v>
      </c>
    </row>
    <row r="97" spans="1:29" s="8" customFormat="1" ht="13.5" customHeight="1" x14ac:dyDescent="0.2">
      <c r="A97" s="36"/>
      <c r="B97" s="1"/>
      <c r="C97" s="41" t="s">
        <v>83</v>
      </c>
      <c r="D97" s="202"/>
      <c r="E97" s="203" t="s">
        <v>113</v>
      </c>
      <c r="G97" s="112">
        <v>0</v>
      </c>
      <c r="H97" s="118" t="s">
        <v>113</v>
      </c>
      <c r="AC97" s="8" t="s">
        <v>110</v>
      </c>
    </row>
    <row r="98" spans="1:29" s="8" customFormat="1" ht="40.5" customHeight="1" thickBot="1" x14ac:dyDescent="0.25">
      <c r="A98" s="36"/>
      <c r="B98" s="1"/>
      <c r="C98" s="44" t="s">
        <v>84</v>
      </c>
      <c r="D98" s="45">
        <v>30</v>
      </c>
      <c r="E98" s="46">
        <v>30</v>
      </c>
      <c r="G98" s="57">
        <v>8603.3100000000013</v>
      </c>
      <c r="H98" s="114"/>
      <c r="K98" s="39">
        <v>0</v>
      </c>
      <c r="M98" s="48">
        <v>0</v>
      </c>
    </row>
    <row r="99" spans="1:29" s="8" customFormat="1" ht="31.5" customHeight="1" thickBot="1" x14ac:dyDescent="0.25">
      <c r="A99" s="36"/>
      <c r="B99" s="1"/>
      <c r="C99" s="49" t="s">
        <v>85</v>
      </c>
      <c r="D99" s="50">
        <v>84</v>
      </c>
      <c r="E99" s="51">
        <v>54</v>
      </c>
      <c r="G99" s="52">
        <v>23449.299230769233</v>
      </c>
      <c r="H99" s="114"/>
      <c r="I99" s="93"/>
    </row>
    <row r="100" spans="1:29" s="8" customFormat="1" ht="9" customHeight="1" thickBot="1" x14ac:dyDescent="0.25">
      <c r="A100" s="36"/>
      <c r="B100" s="1"/>
      <c r="C100" s="58"/>
      <c r="D100" s="59"/>
      <c r="E100" s="60"/>
      <c r="G100" s="61"/>
      <c r="H100" s="114"/>
    </row>
    <row r="101" spans="1:29" s="8" customFormat="1" ht="12.75" x14ac:dyDescent="0.2">
      <c r="A101" s="36"/>
      <c r="B101" s="1"/>
      <c r="C101" s="221" t="s">
        <v>149</v>
      </c>
      <c r="D101" s="222"/>
      <c r="E101" s="68">
        <v>24</v>
      </c>
      <c r="F101" s="87"/>
      <c r="G101" s="63">
        <v>0</v>
      </c>
      <c r="H101" s="64" t="s">
        <v>150</v>
      </c>
    </row>
    <row r="102" spans="1:29" s="8" customFormat="1" ht="13.5" customHeight="1" x14ac:dyDescent="0.2">
      <c r="A102" s="36"/>
      <c r="B102" s="1"/>
      <c r="C102" s="210" t="s">
        <v>163</v>
      </c>
      <c r="D102" s="211"/>
      <c r="E102" s="69">
        <v>30</v>
      </c>
      <c r="F102" s="87"/>
      <c r="G102" s="70">
        <v>0</v>
      </c>
      <c r="H102" s="71" t="s">
        <v>164</v>
      </c>
      <c r="K102" s="13"/>
      <c r="L102" s="13"/>
      <c r="M102" s="13"/>
      <c r="AB102" s="8" t="s">
        <v>86</v>
      </c>
      <c r="AC102" s="8" t="s">
        <v>109</v>
      </c>
    </row>
    <row r="103" spans="1:29" s="8" customFormat="1" ht="13.5" customHeight="1" thickBot="1" x14ac:dyDescent="0.25">
      <c r="A103" s="36"/>
      <c r="B103" s="1"/>
      <c r="C103" s="212" t="s">
        <v>177</v>
      </c>
      <c r="D103" s="213"/>
      <c r="E103" s="72">
        <v>0</v>
      </c>
      <c r="F103" s="87"/>
      <c r="G103" s="66">
        <v>30</v>
      </c>
      <c r="H103" s="67" t="s">
        <v>178</v>
      </c>
      <c r="K103" s="13"/>
      <c r="L103" s="13"/>
      <c r="M103" s="13"/>
    </row>
    <row r="104" spans="1:29" s="8" customFormat="1" ht="13.5" customHeight="1" x14ac:dyDescent="0.2">
      <c r="A104" s="36"/>
      <c r="B104" s="1"/>
      <c r="C104" s="111"/>
      <c r="D104" s="104"/>
      <c r="E104" s="56"/>
      <c r="G104" s="116"/>
      <c r="H104" s="114"/>
      <c r="J104" s="111"/>
      <c r="K104" s="104"/>
      <c r="M104" s="116"/>
    </row>
    <row r="105" spans="1:29" s="8" customFormat="1" ht="76.5" x14ac:dyDescent="0.2">
      <c r="A105" s="4"/>
      <c r="B105" s="6"/>
      <c r="C105" s="27" t="s">
        <v>123</v>
      </c>
      <c r="D105" s="27" t="s">
        <v>72</v>
      </c>
      <c r="E105" s="28" t="s">
        <v>87</v>
      </c>
      <c r="F105" s="105"/>
      <c r="G105" s="27" t="s">
        <v>134</v>
      </c>
      <c r="H105" s="27" t="s">
        <v>74</v>
      </c>
      <c r="J105" s="98" t="s">
        <v>75</v>
      </c>
      <c r="K105" s="98" t="s">
        <v>76</v>
      </c>
      <c r="M105" s="98" t="s">
        <v>135</v>
      </c>
      <c r="AB105" s="108" t="s">
        <v>77</v>
      </c>
    </row>
    <row r="106" spans="1:29" s="8" customFormat="1" ht="13.5" customHeight="1" x14ac:dyDescent="0.2">
      <c r="A106" s="36">
        <v>45809</v>
      </c>
      <c r="B106" s="1">
        <v>45809</v>
      </c>
      <c r="C106" s="88" t="s">
        <v>179</v>
      </c>
      <c r="D106" s="198">
        <v>2.5</v>
      </c>
      <c r="E106" s="199"/>
      <c r="G106" s="200">
        <v>750</v>
      </c>
      <c r="H106" s="201"/>
      <c r="J106" s="88" t="s">
        <v>179</v>
      </c>
      <c r="K106" s="198"/>
      <c r="M106" s="200"/>
      <c r="AB106" s="8" t="s">
        <v>110</v>
      </c>
    </row>
    <row r="107" spans="1:29" s="8" customFormat="1" ht="13.5" customHeight="1" x14ac:dyDescent="0.2">
      <c r="A107" s="36">
        <v>45839</v>
      </c>
      <c r="B107" s="1">
        <v>45839</v>
      </c>
      <c r="C107" s="88" t="s">
        <v>180</v>
      </c>
      <c r="D107" s="198">
        <v>2.5</v>
      </c>
      <c r="E107" s="199"/>
      <c r="G107" s="200">
        <v>750</v>
      </c>
      <c r="H107" s="201"/>
      <c r="J107" s="88" t="s">
        <v>180</v>
      </c>
      <c r="K107" s="198"/>
      <c r="M107" s="200"/>
      <c r="AB107" s="8" t="s">
        <v>110</v>
      </c>
    </row>
    <row r="108" spans="1:29" s="8" customFormat="1" ht="13.5" customHeight="1" x14ac:dyDescent="0.2">
      <c r="A108" s="36">
        <v>45870</v>
      </c>
      <c r="B108" s="1" t="s">
        <v>113</v>
      </c>
      <c r="C108" s="88" t="s">
        <v>113</v>
      </c>
      <c r="D108" s="198"/>
      <c r="E108" s="199"/>
      <c r="G108" s="200"/>
      <c r="H108" s="201"/>
      <c r="J108" s="88" t="s">
        <v>113</v>
      </c>
      <c r="K108" s="198"/>
      <c r="M108" s="200"/>
      <c r="AB108" s="8" t="s">
        <v>109</v>
      </c>
    </row>
    <row r="109" spans="1:29" s="8" customFormat="1" ht="13.5" customHeight="1" x14ac:dyDescent="0.2">
      <c r="A109" s="36">
        <v>45901</v>
      </c>
      <c r="B109" s="1" t="s">
        <v>113</v>
      </c>
      <c r="C109" s="88" t="s">
        <v>113</v>
      </c>
      <c r="D109" s="198"/>
      <c r="E109" s="199"/>
      <c r="G109" s="200"/>
      <c r="H109" s="201"/>
      <c r="J109" s="88" t="s">
        <v>113</v>
      </c>
      <c r="K109" s="198"/>
      <c r="M109" s="200"/>
      <c r="AB109" s="8" t="s">
        <v>109</v>
      </c>
    </row>
    <row r="110" spans="1:29" s="8" customFormat="1" ht="13.5" customHeight="1" x14ac:dyDescent="0.2">
      <c r="A110" s="36">
        <v>45931</v>
      </c>
      <c r="B110" s="1" t="s">
        <v>113</v>
      </c>
      <c r="C110" s="88" t="s">
        <v>113</v>
      </c>
      <c r="D110" s="198"/>
      <c r="E110" s="199"/>
      <c r="G110" s="200"/>
      <c r="H110" s="201"/>
      <c r="J110" s="88" t="s">
        <v>113</v>
      </c>
      <c r="K110" s="198"/>
      <c r="M110" s="200"/>
      <c r="AB110" s="8" t="s">
        <v>109</v>
      </c>
    </row>
    <row r="111" spans="1:29" s="8" customFormat="1" ht="13.5" customHeight="1" x14ac:dyDescent="0.2">
      <c r="A111" s="36">
        <v>45962</v>
      </c>
      <c r="B111" s="1" t="s">
        <v>113</v>
      </c>
      <c r="C111" s="88" t="s">
        <v>113</v>
      </c>
      <c r="D111" s="198"/>
      <c r="E111" s="199"/>
      <c r="G111" s="200"/>
      <c r="H111" s="201"/>
      <c r="J111" s="88" t="s">
        <v>113</v>
      </c>
      <c r="K111" s="198"/>
      <c r="M111" s="200"/>
      <c r="AB111" s="8" t="s">
        <v>109</v>
      </c>
    </row>
    <row r="112" spans="1:29" s="8" customFormat="1" ht="13.5" customHeight="1" x14ac:dyDescent="0.2">
      <c r="A112" s="36">
        <v>45992</v>
      </c>
      <c r="B112" s="1" t="s">
        <v>113</v>
      </c>
      <c r="C112" s="88" t="s">
        <v>113</v>
      </c>
      <c r="D112" s="198"/>
      <c r="E112" s="199"/>
      <c r="G112" s="200"/>
      <c r="H112" s="201"/>
      <c r="J112" s="88" t="s">
        <v>113</v>
      </c>
      <c r="K112" s="198"/>
      <c r="M112" s="200"/>
      <c r="AB112" s="8" t="s">
        <v>109</v>
      </c>
    </row>
    <row r="113" spans="1:29" s="8" customFormat="1" ht="13.5" customHeight="1" x14ac:dyDescent="0.2">
      <c r="A113" s="36">
        <v>46023</v>
      </c>
      <c r="B113" s="1" t="s">
        <v>113</v>
      </c>
      <c r="C113" s="88" t="s">
        <v>113</v>
      </c>
      <c r="D113" s="198"/>
      <c r="E113" s="199"/>
      <c r="G113" s="200"/>
      <c r="H113" s="201"/>
      <c r="J113" s="88" t="s">
        <v>113</v>
      </c>
      <c r="K113" s="198"/>
      <c r="M113" s="200"/>
      <c r="AB113" s="8" t="s">
        <v>109</v>
      </c>
    </row>
    <row r="114" spans="1:29" s="8" customFormat="1" ht="13.5" customHeight="1" x14ac:dyDescent="0.2">
      <c r="A114" s="36">
        <v>46054</v>
      </c>
      <c r="B114" s="1" t="s">
        <v>113</v>
      </c>
      <c r="C114" s="88" t="s">
        <v>113</v>
      </c>
      <c r="D114" s="198"/>
      <c r="E114" s="199"/>
      <c r="G114" s="200"/>
      <c r="H114" s="201"/>
      <c r="J114" s="88" t="s">
        <v>113</v>
      </c>
      <c r="K114" s="198"/>
      <c r="M114" s="200"/>
      <c r="AB114" s="8" t="s">
        <v>109</v>
      </c>
    </row>
    <row r="115" spans="1:29" s="8" customFormat="1" ht="13.5" customHeight="1" x14ac:dyDescent="0.2">
      <c r="A115" s="36">
        <v>46082</v>
      </c>
      <c r="B115" s="1" t="s">
        <v>113</v>
      </c>
      <c r="C115" s="88" t="s">
        <v>113</v>
      </c>
      <c r="D115" s="198"/>
      <c r="E115" s="199"/>
      <c r="G115" s="200"/>
      <c r="H115" s="201"/>
      <c r="J115" s="88" t="s">
        <v>113</v>
      </c>
      <c r="K115" s="198"/>
      <c r="M115" s="200"/>
      <c r="AB115" s="8" t="s">
        <v>109</v>
      </c>
    </row>
    <row r="116" spans="1:29" s="8" customFormat="1" ht="13.5" customHeight="1" x14ac:dyDescent="0.2">
      <c r="A116" s="36">
        <v>46113</v>
      </c>
      <c r="B116" s="1" t="s">
        <v>113</v>
      </c>
      <c r="C116" s="88" t="s">
        <v>113</v>
      </c>
      <c r="D116" s="198"/>
      <c r="E116" s="199"/>
      <c r="G116" s="200"/>
      <c r="H116" s="201"/>
      <c r="J116" s="88" t="s">
        <v>113</v>
      </c>
      <c r="K116" s="198"/>
      <c r="M116" s="200"/>
      <c r="AB116" s="8" t="s">
        <v>109</v>
      </c>
    </row>
    <row r="117" spans="1:29" s="8" customFormat="1" ht="13.5" customHeight="1" x14ac:dyDescent="0.2">
      <c r="A117" s="36">
        <v>46143</v>
      </c>
      <c r="B117" s="1" t="s">
        <v>113</v>
      </c>
      <c r="C117" s="88" t="s">
        <v>113</v>
      </c>
      <c r="D117" s="198"/>
      <c r="E117" s="199"/>
      <c r="G117" s="200"/>
      <c r="H117" s="201"/>
      <c r="J117" s="88" t="s">
        <v>113</v>
      </c>
      <c r="K117" s="198"/>
      <c r="M117" s="200"/>
      <c r="AB117" s="8" t="s">
        <v>109</v>
      </c>
      <c r="AC117" s="8" t="s">
        <v>81</v>
      </c>
    </row>
    <row r="118" spans="1:29" s="8" customFormat="1" ht="12.75" x14ac:dyDescent="0.2">
      <c r="A118" s="4"/>
      <c r="B118" s="6"/>
      <c r="C118" s="38" t="s">
        <v>82</v>
      </c>
      <c r="D118" s="39">
        <v>0</v>
      </c>
      <c r="G118" s="40">
        <v>0</v>
      </c>
    </row>
    <row r="119" spans="1:29" s="8" customFormat="1" ht="13.5" customHeight="1" x14ac:dyDescent="0.2">
      <c r="A119" s="36"/>
      <c r="B119" s="1"/>
      <c r="C119" s="41" t="s">
        <v>83</v>
      </c>
      <c r="D119" s="202"/>
      <c r="E119" s="203" t="s">
        <v>113</v>
      </c>
      <c r="G119" s="112">
        <v>0</v>
      </c>
      <c r="H119" s="118" t="s">
        <v>113</v>
      </c>
      <c r="AC119" s="8" t="s">
        <v>109</v>
      </c>
    </row>
    <row r="120" spans="1:29" s="8" customFormat="1" ht="40.5" customHeight="1" thickBot="1" x14ac:dyDescent="0.25">
      <c r="A120" s="36"/>
      <c r="B120" s="1"/>
      <c r="C120" s="44" t="s">
        <v>84</v>
      </c>
      <c r="D120" s="45">
        <v>5</v>
      </c>
      <c r="E120" s="46">
        <v>0</v>
      </c>
      <c r="G120" s="57">
        <v>1500</v>
      </c>
      <c r="H120" s="114"/>
      <c r="K120" s="39">
        <v>0</v>
      </c>
      <c r="M120" s="48">
        <v>0</v>
      </c>
    </row>
    <row r="121" spans="1:29" s="8" customFormat="1" ht="30" customHeight="1" thickBot="1" x14ac:dyDescent="0.25">
      <c r="A121" s="36"/>
      <c r="B121" s="1"/>
      <c r="C121" s="49" t="s">
        <v>85</v>
      </c>
      <c r="D121" s="50">
        <v>89</v>
      </c>
      <c r="E121" s="51">
        <v>54</v>
      </c>
      <c r="G121" s="52">
        <v>24949.299230769233</v>
      </c>
      <c r="H121" s="114"/>
      <c r="I121" s="93"/>
    </row>
    <row r="122" spans="1:29" s="8" customFormat="1" ht="9" customHeight="1" thickBot="1" x14ac:dyDescent="0.25">
      <c r="A122" s="36"/>
      <c r="B122" s="1"/>
      <c r="C122" s="58"/>
      <c r="D122" s="59"/>
      <c r="E122" s="60"/>
      <c r="G122" s="61"/>
      <c r="H122" s="114"/>
    </row>
    <row r="123" spans="1:29" s="8" customFormat="1" ht="13.5" customHeight="1" x14ac:dyDescent="0.2">
      <c r="A123" s="36"/>
      <c r="B123" s="1"/>
      <c r="C123" s="221" t="s">
        <v>149</v>
      </c>
      <c r="D123" s="222"/>
      <c r="E123" s="62">
        <v>24</v>
      </c>
      <c r="F123" s="87"/>
      <c r="G123" s="63">
        <v>0</v>
      </c>
      <c r="H123" s="64" t="s">
        <v>150</v>
      </c>
      <c r="K123" s="13"/>
      <c r="L123" s="13"/>
      <c r="M123" s="13"/>
      <c r="AB123" s="8" t="s">
        <v>86</v>
      </c>
      <c r="AC123" s="8" t="s">
        <v>110</v>
      </c>
    </row>
    <row r="124" spans="1:29" s="8" customFormat="1" ht="13.5" customHeight="1" x14ac:dyDescent="0.2">
      <c r="A124" s="36"/>
      <c r="B124" s="1"/>
      <c r="C124" s="210" t="s">
        <v>163</v>
      </c>
      <c r="D124" s="211"/>
      <c r="E124" s="73">
        <v>30</v>
      </c>
      <c r="F124" s="87"/>
      <c r="G124" s="70">
        <v>0</v>
      </c>
      <c r="H124" s="71" t="s">
        <v>164</v>
      </c>
      <c r="K124" s="13"/>
      <c r="L124" s="13"/>
      <c r="M124" s="13"/>
    </row>
    <row r="125" spans="1:29" s="8" customFormat="1" ht="13.5" customHeight="1" x14ac:dyDescent="0.2">
      <c r="A125" s="36"/>
      <c r="B125" s="1"/>
      <c r="C125" s="210" t="s">
        <v>177</v>
      </c>
      <c r="D125" s="211"/>
      <c r="E125" s="73">
        <v>0</v>
      </c>
      <c r="F125" s="87"/>
      <c r="G125" s="70">
        <v>30</v>
      </c>
      <c r="H125" s="71" t="s">
        <v>178</v>
      </c>
      <c r="K125" s="13"/>
      <c r="L125" s="13"/>
      <c r="M125" s="13"/>
    </row>
    <row r="126" spans="1:29" s="8" customFormat="1" ht="13.5" customHeight="1" thickBot="1" x14ac:dyDescent="0.25">
      <c r="A126" s="36"/>
      <c r="B126" s="1"/>
      <c r="C126" s="212" t="s">
        <v>181</v>
      </c>
      <c r="D126" s="229"/>
      <c r="E126" s="65">
        <v>0</v>
      </c>
      <c r="F126" s="87"/>
      <c r="G126" s="66">
        <v>5</v>
      </c>
      <c r="H126" s="67" t="s">
        <v>182</v>
      </c>
      <c r="K126" s="13"/>
      <c r="L126" s="13"/>
      <c r="M126" s="13"/>
    </row>
    <row r="127" spans="1:29" s="8" customFormat="1" ht="13.5" customHeight="1" x14ac:dyDescent="0.2">
      <c r="A127" s="36"/>
      <c r="B127" s="1"/>
      <c r="C127" s="111"/>
      <c r="D127" s="104"/>
      <c r="E127" s="56"/>
      <c r="G127" s="116"/>
      <c r="H127" s="114"/>
      <c r="J127" s="111"/>
      <c r="K127" s="104"/>
      <c r="M127" s="116"/>
    </row>
    <row r="128" spans="1:29" s="8" customFormat="1" ht="76.5" x14ac:dyDescent="0.2">
      <c r="A128" s="4"/>
      <c r="B128" s="6"/>
      <c r="C128" s="27" t="e">
        <v>#VALUE!</v>
      </c>
      <c r="D128" s="27" t="s">
        <v>72</v>
      </c>
      <c r="E128" s="28" t="s">
        <v>87</v>
      </c>
      <c r="F128" s="105"/>
      <c r="G128" s="27" t="s">
        <v>134</v>
      </c>
      <c r="H128" s="27" t="s">
        <v>74</v>
      </c>
      <c r="J128" s="98" t="s">
        <v>75</v>
      </c>
      <c r="K128" s="98" t="s">
        <v>76</v>
      </c>
      <c r="M128" s="98" t="s">
        <v>135</v>
      </c>
      <c r="AB128" s="108" t="s">
        <v>77</v>
      </c>
    </row>
    <row r="129" spans="1:29" s="8" customFormat="1" ht="13.5" customHeight="1" x14ac:dyDescent="0.2">
      <c r="A129" s="36">
        <v>46174</v>
      </c>
      <c r="B129" s="1" t="s">
        <v>113</v>
      </c>
      <c r="C129" s="88" t="s">
        <v>113</v>
      </c>
      <c r="D129" s="198"/>
      <c r="E129" s="199"/>
      <c r="G129" s="200"/>
      <c r="H129" s="201"/>
      <c r="J129" s="88" t="s">
        <v>113</v>
      </c>
      <c r="K129" s="198"/>
      <c r="M129" s="200"/>
      <c r="AB129" s="8" t="s">
        <v>109</v>
      </c>
    </row>
    <row r="130" spans="1:29" s="8" customFormat="1" ht="13.5" customHeight="1" x14ac:dyDescent="0.2">
      <c r="A130" s="36">
        <v>46204</v>
      </c>
      <c r="B130" s="1" t="s">
        <v>113</v>
      </c>
      <c r="C130" s="88" t="s">
        <v>113</v>
      </c>
      <c r="D130" s="198"/>
      <c r="E130" s="199"/>
      <c r="G130" s="200"/>
      <c r="H130" s="201"/>
      <c r="J130" s="88" t="s">
        <v>113</v>
      </c>
      <c r="K130" s="198"/>
      <c r="M130" s="200"/>
      <c r="AB130" s="8" t="s">
        <v>109</v>
      </c>
    </row>
    <row r="131" spans="1:29" s="8" customFormat="1" ht="13.5" customHeight="1" x14ac:dyDescent="0.2">
      <c r="A131" s="36">
        <v>46235</v>
      </c>
      <c r="B131" s="1" t="s">
        <v>113</v>
      </c>
      <c r="C131" s="88" t="s">
        <v>113</v>
      </c>
      <c r="D131" s="198"/>
      <c r="E131" s="199"/>
      <c r="G131" s="200"/>
      <c r="H131" s="201"/>
      <c r="J131" s="88" t="s">
        <v>113</v>
      </c>
      <c r="K131" s="198"/>
      <c r="M131" s="200"/>
      <c r="AB131" s="8" t="s">
        <v>109</v>
      </c>
    </row>
    <row r="132" spans="1:29" s="8" customFormat="1" ht="13.5" customHeight="1" x14ac:dyDescent="0.2">
      <c r="A132" s="36">
        <v>46266</v>
      </c>
      <c r="B132" s="1" t="s">
        <v>113</v>
      </c>
      <c r="C132" s="88" t="s">
        <v>113</v>
      </c>
      <c r="D132" s="198"/>
      <c r="E132" s="199"/>
      <c r="G132" s="200"/>
      <c r="H132" s="201"/>
      <c r="J132" s="88" t="s">
        <v>113</v>
      </c>
      <c r="K132" s="198"/>
      <c r="M132" s="200"/>
      <c r="AB132" s="8" t="s">
        <v>109</v>
      </c>
    </row>
    <row r="133" spans="1:29" s="8" customFormat="1" ht="13.5" customHeight="1" x14ac:dyDescent="0.2">
      <c r="A133" s="36">
        <v>46296</v>
      </c>
      <c r="B133" s="1" t="s">
        <v>113</v>
      </c>
      <c r="C133" s="88" t="s">
        <v>113</v>
      </c>
      <c r="D133" s="198"/>
      <c r="E133" s="199"/>
      <c r="G133" s="200"/>
      <c r="H133" s="201"/>
      <c r="J133" s="88" t="s">
        <v>113</v>
      </c>
      <c r="K133" s="198"/>
      <c r="M133" s="200"/>
      <c r="AB133" s="8" t="s">
        <v>109</v>
      </c>
    </row>
    <row r="134" spans="1:29" s="8" customFormat="1" ht="13.5" customHeight="1" x14ac:dyDescent="0.2">
      <c r="A134" s="36">
        <v>46327</v>
      </c>
      <c r="B134" s="1" t="s">
        <v>113</v>
      </c>
      <c r="C134" s="88" t="s">
        <v>113</v>
      </c>
      <c r="D134" s="198"/>
      <c r="E134" s="199"/>
      <c r="G134" s="200"/>
      <c r="H134" s="201"/>
      <c r="J134" s="88" t="s">
        <v>113</v>
      </c>
      <c r="K134" s="198"/>
      <c r="M134" s="200"/>
      <c r="AB134" s="8" t="s">
        <v>109</v>
      </c>
    </row>
    <row r="135" spans="1:29" s="8" customFormat="1" ht="13.5" customHeight="1" x14ac:dyDescent="0.2">
      <c r="A135" s="36">
        <v>46357</v>
      </c>
      <c r="B135" s="1" t="s">
        <v>113</v>
      </c>
      <c r="C135" s="88" t="s">
        <v>113</v>
      </c>
      <c r="D135" s="198"/>
      <c r="E135" s="199"/>
      <c r="G135" s="200"/>
      <c r="H135" s="201"/>
      <c r="J135" s="88" t="s">
        <v>113</v>
      </c>
      <c r="K135" s="198"/>
      <c r="M135" s="200"/>
      <c r="AB135" s="8" t="s">
        <v>109</v>
      </c>
    </row>
    <row r="136" spans="1:29" s="8" customFormat="1" ht="13.5" customHeight="1" x14ac:dyDescent="0.2">
      <c r="A136" s="36">
        <v>46388</v>
      </c>
      <c r="B136" s="1" t="s">
        <v>113</v>
      </c>
      <c r="C136" s="88" t="s">
        <v>113</v>
      </c>
      <c r="D136" s="198"/>
      <c r="E136" s="199"/>
      <c r="G136" s="200"/>
      <c r="H136" s="201"/>
      <c r="J136" s="88" t="s">
        <v>113</v>
      </c>
      <c r="K136" s="198"/>
      <c r="M136" s="200"/>
      <c r="AB136" s="8" t="s">
        <v>109</v>
      </c>
    </row>
    <row r="137" spans="1:29" s="8" customFormat="1" ht="13.5" customHeight="1" x14ac:dyDescent="0.2">
      <c r="A137" s="36">
        <v>46419</v>
      </c>
      <c r="B137" s="1" t="s">
        <v>113</v>
      </c>
      <c r="C137" s="88" t="s">
        <v>113</v>
      </c>
      <c r="D137" s="198"/>
      <c r="E137" s="199"/>
      <c r="G137" s="200"/>
      <c r="H137" s="201"/>
      <c r="J137" s="88" t="s">
        <v>113</v>
      </c>
      <c r="K137" s="198"/>
      <c r="M137" s="200"/>
      <c r="AB137" s="8" t="s">
        <v>109</v>
      </c>
    </row>
    <row r="138" spans="1:29" s="8" customFormat="1" ht="13.5" customHeight="1" x14ac:dyDescent="0.2">
      <c r="A138" s="36">
        <v>46447</v>
      </c>
      <c r="B138" s="1" t="s">
        <v>113</v>
      </c>
      <c r="C138" s="88" t="s">
        <v>113</v>
      </c>
      <c r="D138" s="198"/>
      <c r="E138" s="199"/>
      <c r="G138" s="200"/>
      <c r="H138" s="201"/>
      <c r="J138" s="88" t="s">
        <v>113</v>
      </c>
      <c r="K138" s="198"/>
      <c r="M138" s="200"/>
      <c r="AB138" s="8" t="s">
        <v>109</v>
      </c>
    </row>
    <row r="139" spans="1:29" s="8" customFormat="1" ht="13.5" customHeight="1" x14ac:dyDescent="0.2">
      <c r="A139" s="36">
        <v>46478</v>
      </c>
      <c r="B139" s="1" t="s">
        <v>113</v>
      </c>
      <c r="C139" s="88" t="s">
        <v>113</v>
      </c>
      <c r="D139" s="198"/>
      <c r="E139" s="199"/>
      <c r="G139" s="200"/>
      <c r="H139" s="201"/>
      <c r="J139" s="88" t="s">
        <v>113</v>
      </c>
      <c r="K139" s="198"/>
      <c r="M139" s="200"/>
      <c r="AB139" s="8" t="s">
        <v>109</v>
      </c>
    </row>
    <row r="140" spans="1:29" s="8" customFormat="1" ht="13.5" customHeight="1" x14ac:dyDescent="0.2">
      <c r="A140" s="36">
        <v>46508</v>
      </c>
      <c r="B140" s="1" t="s">
        <v>113</v>
      </c>
      <c r="C140" s="88" t="s">
        <v>113</v>
      </c>
      <c r="D140" s="198"/>
      <c r="E140" s="199"/>
      <c r="G140" s="200"/>
      <c r="H140" s="201"/>
      <c r="J140" s="88" t="s">
        <v>113</v>
      </c>
      <c r="K140" s="198"/>
      <c r="M140" s="200"/>
      <c r="AB140" s="8" t="s">
        <v>109</v>
      </c>
      <c r="AC140" s="8" t="s">
        <v>81</v>
      </c>
    </row>
    <row r="141" spans="1:29" s="8" customFormat="1" ht="13.5" customHeight="1" x14ac:dyDescent="0.2">
      <c r="A141" s="4"/>
      <c r="B141" s="6"/>
      <c r="C141" s="38" t="s">
        <v>82</v>
      </c>
      <c r="D141" s="39">
        <v>0</v>
      </c>
      <c r="G141" s="40">
        <v>0</v>
      </c>
      <c r="H141" s="119"/>
    </row>
    <row r="142" spans="1:29" s="8" customFormat="1" ht="12.75" x14ac:dyDescent="0.2">
      <c r="A142" s="4"/>
      <c r="B142" s="6"/>
      <c r="C142" s="41" t="s">
        <v>83</v>
      </c>
      <c r="D142" s="202"/>
      <c r="E142" s="203" t="s">
        <v>113</v>
      </c>
      <c r="G142" s="112">
        <v>0</v>
      </c>
      <c r="H142" s="118" t="s">
        <v>113</v>
      </c>
      <c r="AC142" s="8" t="s">
        <v>109</v>
      </c>
    </row>
    <row r="143" spans="1:29" s="8" customFormat="1" ht="40.5" customHeight="1" thickBot="1" x14ac:dyDescent="0.25">
      <c r="A143" s="36"/>
      <c r="B143" s="1"/>
      <c r="C143" s="44" t="s">
        <v>84</v>
      </c>
      <c r="D143" s="45">
        <v>0</v>
      </c>
      <c r="E143" s="46">
        <v>0</v>
      </c>
      <c r="G143" s="47">
        <v>0</v>
      </c>
      <c r="H143" s="114"/>
      <c r="K143" s="39">
        <v>0</v>
      </c>
      <c r="M143" s="48">
        <v>0</v>
      </c>
    </row>
    <row r="144" spans="1:29" s="8" customFormat="1" ht="30.75" customHeight="1" thickBot="1" x14ac:dyDescent="0.25">
      <c r="A144" s="36"/>
      <c r="B144" s="1"/>
      <c r="C144" s="49" t="s">
        <v>85</v>
      </c>
      <c r="D144" s="50">
        <v>89</v>
      </c>
      <c r="E144" s="51">
        <v>54</v>
      </c>
      <c r="G144" s="52">
        <v>24949.299230769233</v>
      </c>
      <c r="H144" s="114"/>
      <c r="I144" s="9"/>
    </row>
    <row r="145" spans="1:29" s="8" customFormat="1" ht="9" customHeight="1" thickBot="1" x14ac:dyDescent="0.25">
      <c r="A145" s="36"/>
      <c r="B145" s="1"/>
      <c r="C145" s="58"/>
      <c r="D145" s="59"/>
      <c r="E145" s="60"/>
      <c r="G145" s="61"/>
      <c r="H145" s="114"/>
      <c r="I145" s="2"/>
    </row>
    <row r="146" spans="1:29" s="8" customFormat="1" ht="13.5" customHeight="1" x14ac:dyDescent="0.2">
      <c r="A146" s="36"/>
      <c r="B146" s="1"/>
      <c r="C146" s="221" t="s">
        <v>149</v>
      </c>
      <c r="D146" s="222"/>
      <c r="E146" s="62">
        <v>24</v>
      </c>
      <c r="F146" s="87"/>
      <c r="G146" s="63">
        <v>0</v>
      </c>
      <c r="H146" s="64" t="s">
        <v>150</v>
      </c>
      <c r="K146" s="13"/>
      <c r="L146" s="13"/>
      <c r="M146" s="13"/>
      <c r="AB146" s="8" t="s">
        <v>86</v>
      </c>
      <c r="AC146" s="8" t="s">
        <v>109</v>
      </c>
    </row>
    <row r="147" spans="1:29" s="8" customFormat="1" ht="13.5" customHeight="1" x14ac:dyDescent="0.2">
      <c r="A147" s="36"/>
      <c r="B147" s="1"/>
      <c r="C147" s="210" t="s">
        <v>163</v>
      </c>
      <c r="D147" s="211"/>
      <c r="E147" s="73">
        <v>30</v>
      </c>
      <c r="F147" s="87"/>
      <c r="G147" s="70">
        <v>0</v>
      </c>
      <c r="H147" s="74" t="s">
        <v>164</v>
      </c>
      <c r="K147" s="13"/>
      <c r="L147" s="13"/>
      <c r="M147" s="13"/>
    </row>
    <row r="148" spans="1:29" s="8" customFormat="1" ht="13.5" customHeight="1" x14ac:dyDescent="0.2">
      <c r="A148" s="36"/>
      <c r="B148" s="1"/>
      <c r="C148" s="210" t="s">
        <v>177</v>
      </c>
      <c r="D148" s="211"/>
      <c r="E148" s="73">
        <v>0</v>
      </c>
      <c r="F148" s="87"/>
      <c r="G148" s="70">
        <v>30</v>
      </c>
      <c r="H148" s="74" t="s">
        <v>178</v>
      </c>
      <c r="K148" s="13"/>
      <c r="L148" s="13"/>
      <c r="M148" s="13"/>
    </row>
    <row r="149" spans="1:29" s="8" customFormat="1" ht="13.5" customHeight="1" x14ac:dyDescent="0.2">
      <c r="A149" s="36"/>
      <c r="B149" s="1"/>
      <c r="C149" s="210" t="s">
        <v>181</v>
      </c>
      <c r="D149" s="211"/>
      <c r="E149" s="73">
        <v>0</v>
      </c>
      <c r="F149" s="87"/>
      <c r="G149" s="70">
        <v>5</v>
      </c>
      <c r="H149" s="74" t="s">
        <v>182</v>
      </c>
      <c r="K149" s="13"/>
      <c r="L149" s="13"/>
      <c r="M149" s="13"/>
    </row>
    <row r="150" spans="1:29" s="8" customFormat="1" ht="13.5" customHeight="1" thickBot="1" x14ac:dyDescent="0.25">
      <c r="A150" s="36"/>
      <c r="B150" s="1"/>
      <c r="C150" s="212" t="e">
        <v>#VALUE!</v>
      </c>
      <c r="D150" s="213"/>
      <c r="E150" s="65">
        <v>0</v>
      </c>
      <c r="F150" s="87"/>
      <c r="G150" s="66">
        <v>0</v>
      </c>
      <c r="H150" s="67" t="e">
        <v>#VALUE!</v>
      </c>
      <c r="K150" s="13"/>
      <c r="L150" s="13"/>
      <c r="M150" s="13"/>
    </row>
    <row r="151" spans="1:29" s="8" customFormat="1" ht="12.75" x14ac:dyDescent="0.2">
      <c r="B151" s="6"/>
    </row>
    <row r="152" spans="1:29" s="8" customFormat="1" ht="76.5" x14ac:dyDescent="0.2">
      <c r="A152" s="4"/>
      <c r="B152" s="6"/>
      <c r="C152" s="27" t="e">
        <v>#VALUE!</v>
      </c>
      <c r="D152" s="27" t="s">
        <v>72</v>
      </c>
      <c r="E152" s="28" t="s">
        <v>87</v>
      </c>
      <c r="F152" s="105"/>
      <c r="G152" s="27" t="s">
        <v>134</v>
      </c>
      <c r="H152" s="27" t="s">
        <v>74</v>
      </c>
      <c r="J152" s="98" t="s">
        <v>75</v>
      </c>
      <c r="K152" s="98" t="s">
        <v>76</v>
      </c>
      <c r="M152" s="98" t="s">
        <v>135</v>
      </c>
      <c r="AB152" s="108" t="s">
        <v>77</v>
      </c>
    </row>
    <row r="153" spans="1:29" s="8" customFormat="1" ht="13.5" customHeight="1" x14ac:dyDescent="0.2">
      <c r="A153" s="36">
        <v>46539</v>
      </c>
      <c r="B153" s="1" t="s">
        <v>113</v>
      </c>
      <c r="C153" s="88" t="s">
        <v>113</v>
      </c>
      <c r="D153" s="198"/>
      <c r="E153" s="199"/>
      <c r="G153" s="200"/>
      <c r="H153" s="201"/>
      <c r="J153" s="88" t="s">
        <v>113</v>
      </c>
      <c r="K153" s="198"/>
      <c r="M153" s="200"/>
      <c r="AB153" s="8" t="s">
        <v>109</v>
      </c>
    </row>
    <row r="154" spans="1:29" s="8" customFormat="1" ht="13.5" customHeight="1" x14ac:dyDescent="0.2">
      <c r="A154" s="36">
        <v>46569</v>
      </c>
      <c r="B154" s="1" t="s">
        <v>113</v>
      </c>
      <c r="C154" s="88" t="s">
        <v>113</v>
      </c>
      <c r="D154" s="198"/>
      <c r="E154" s="199"/>
      <c r="G154" s="200"/>
      <c r="H154" s="201"/>
      <c r="J154" s="88" t="s">
        <v>113</v>
      </c>
      <c r="K154" s="198"/>
      <c r="M154" s="200"/>
      <c r="AB154" s="8" t="s">
        <v>109</v>
      </c>
    </row>
    <row r="155" spans="1:29" s="8" customFormat="1" ht="13.5" customHeight="1" x14ac:dyDescent="0.2">
      <c r="A155" s="36">
        <v>46600</v>
      </c>
      <c r="B155" s="1" t="s">
        <v>113</v>
      </c>
      <c r="C155" s="88" t="s">
        <v>113</v>
      </c>
      <c r="D155" s="198"/>
      <c r="E155" s="199"/>
      <c r="G155" s="200"/>
      <c r="H155" s="201"/>
      <c r="J155" s="88" t="s">
        <v>113</v>
      </c>
      <c r="K155" s="198"/>
      <c r="M155" s="200"/>
      <c r="AB155" s="8" t="s">
        <v>109</v>
      </c>
    </row>
    <row r="156" spans="1:29" s="8" customFormat="1" ht="13.5" customHeight="1" x14ac:dyDescent="0.2">
      <c r="A156" s="36">
        <v>46631</v>
      </c>
      <c r="B156" s="1" t="s">
        <v>113</v>
      </c>
      <c r="C156" s="88" t="s">
        <v>113</v>
      </c>
      <c r="D156" s="198"/>
      <c r="E156" s="199"/>
      <c r="G156" s="200"/>
      <c r="H156" s="201"/>
      <c r="J156" s="88" t="s">
        <v>113</v>
      </c>
      <c r="K156" s="198"/>
      <c r="M156" s="200"/>
      <c r="AB156" s="8" t="s">
        <v>109</v>
      </c>
    </row>
    <row r="157" spans="1:29" s="8" customFormat="1" ht="13.5" customHeight="1" x14ac:dyDescent="0.2">
      <c r="A157" s="36">
        <v>46661</v>
      </c>
      <c r="B157" s="1" t="s">
        <v>113</v>
      </c>
      <c r="C157" s="88" t="s">
        <v>113</v>
      </c>
      <c r="D157" s="198"/>
      <c r="E157" s="199"/>
      <c r="G157" s="200"/>
      <c r="H157" s="201"/>
      <c r="J157" s="88" t="s">
        <v>113</v>
      </c>
      <c r="K157" s="198"/>
      <c r="M157" s="200"/>
      <c r="AB157" s="8" t="s">
        <v>109</v>
      </c>
    </row>
    <row r="158" spans="1:29" s="8" customFormat="1" ht="13.5" customHeight="1" x14ac:dyDescent="0.2">
      <c r="A158" s="36">
        <v>46692</v>
      </c>
      <c r="B158" s="1" t="s">
        <v>113</v>
      </c>
      <c r="C158" s="88" t="s">
        <v>113</v>
      </c>
      <c r="D158" s="198"/>
      <c r="E158" s="199"/>
      <c r="G158" s="200"/>
      <c r="H158" s="201"/>
      <c r="J158" s="88" t="s">
        <v>113</v>
      </c>
      <c r="K158" s="198"/>
      <c r="M158" s="200"/>
      <c r="AB158" s="8" t="s">
        <v>109</v>
      </c>
    </row>
    <row r="159" spans="1:29" s="8" customFormat="1" ht="13.5" customHeight="1" x14ac:dyDescent="0.2">
      <c r="A159" s="36">
        <v>46722</v>
      </c>
      <c r="B159" s="1" t="s">
        <v>113</v>
      </c>
      <c r="C159" s="88" t="s">
        <v>113</v>
      </c>
      <c r="D159" s="198"/>
      <c r="E159" s="199"/>
      <c r="G159" s="200"/>
      <c r="H159" s="201"/>
      <c r="J159" s="88" t="s">
        <v>113</v>
      </c>
      <c r="K159" s="198"/>
      <c r="M159" s="200"/>
      <c r="AB159" s="8" t="s">
        <v>109</v>
      </c>
    </row>
    <row r="160" spans="1:29" s="8" customFormat="1" ht="13.5" customHeight="1" x14ac:dyDescent="0.2">
      <c r="A160" s="36">
        <v>46753</v>
      </c>
      <c r="B160" s="1" t="s">
        <v>113</v>
      </c>
      <c r="C160" s="88" t="s">
        <v>113</v>
      </c>
      <c r="D160" s="198"/>
      <c r="E160" s="199"/>
      <c r="G160" s="200"/>
      <c r="H160" s="201"/>
      <c r="J160" s="88" t="s">
        <v>113</v>
      </c>
      <c r="K160" s="198"/>
      <c r="M160" s="200"/>
      <c r="AB160" s="8" t="s">
        <v>109</v>
      </c>
    </row>
    <row r="161" spans="1:29" s="8" customFormat="1" ht="13.5" customHeight="1" x14ac:dyDescent="0.2">
      <c r="A161" s="36">
        <v>46784</v>
      </c>
      <c r="B161" s="1" t="s">
        <v>113</v>
      </c>
      <c r="C161" s="88" t="s">
        <v>113</v>
      </c>
      <c r="D161" s="198"/>
      <c r="E161" s="199"/>
      <c r="G161" s="200"/>
      <c r="H161" s="201"/>
      <c r="J161" s="88" t="s">
        <v>113</v>
      </c>
      <c r="K161" s="198"/>
      <c r="M161" s="200"/>
      <c r="AB161" s="8" t="s">
        <v>109</v>
      </c>
    </row>
    <row r="162" spans="1:29" s="8" customFormat="1" ht="13.5" customHeight="1" x14ac:dyDescent="0.2">
      <c r="A162" s="36">
        <v>46813</v>
      </c>
      <c r="B162" s="1" t="s">
        <v>113</v>
      </c>
      <c r="C162" s="88" t="s">
        <v>113</v>
      </c>
      <c r="D162" s="198"/>
      <c r="E162" s="199"/>
      <c r="G162" s="200"/>
      <c r="H162" s="201"/>
      <c r="J162" s="88" t="s">
        <v>113</v>
      </c>
      <c r="K162" s="198"/>
      <c r="M162" s="200"/>
      <c r="AB162" s="8" t="s">
        <v>109</v>
      </c>
    </row>
    <row r="163" spans="1:29" s="8" customFormat="1" ht="13.5" customHeight="1" x14ac:dyDescent="0.2">
      <c r="A163" s="36">
        <v>46844</v>
      </c>
      <c r="B163" s="1" t="s">
        <v>113</v>
      </c>
      <c r="C163" s="88" t="s">
        <v>113</v>
      </c>
      <c r="D163" s="198"/>
      <c r="E163" s="199"/>
      <c r="G163" s="200"/>
      <c r="H163" s="201"/>
      <c r="J163" s="88" t="s">
        <v>113</v>
      </c>
      <c r="K163" s="198"/>
      <c r="M163" s="200"/>
      <c r="AB163" s="8" t="s">
        <v>109</v>
      </c>
    </row>
    <row r="164" spans="1:29" s="8" customFormat="1" ht="13.5" customHeight="1" x14ac:dyDescent="0.2">
      <c r="A164" s="36">
        <v>46874</v>
      </c>
      <c r="B164" s="1" t="s">
        <v>113</v>
      </c>
      <c r="C164" s="88" t="s">
        <v>113</v>
      </c>
      <c r="D164" s="198"/>
      <c r="E164" s="199"/>
      <c r="G164" s="200"/>
      <c r="H164" s="201"/>
      <c r="J164" s="88" t="s">
        <v>113</v>
      </c>
      <c r="K164" s="198"/>
      <c r="M164" s="200"/>
      <c r="AB164" s="8" t="s">
        <v>109</v>
      </c>
    </row>
    <row r="165" spans="1:29" s="8" customFormat="1" ht="13.5" customHeight="1" x14ac:dyDescent="0.2">
      <c r="A165" s="4"/>
      <c r="B165" s="6"/>
      <c r="C165" s="38" t="s">
        <v>82</v>
      </c>
      <c r="D165" s="39">
        <v>0</v>
      </c>
      <c r="G165" s="40">
        <v>0</v>
      </c>
      <c r="H165" s="119"/>
    </row>
    <row r="166" spans="1:29" s="8" customFormat="1" ht="12.75" x14ac:dyDescent="0.2">
      <c r="A166" s="4"/>
      <c r="B166" s="6"/>
      <c r="C166" s="75"/>
      <c r="D166" s="76"/>
      <c r="E166" s="43"/>
      <c r="G166" s="120"/>
      <c r="H166" s="119" t="s">
        <v>113</v>
      </c>
    </row>
    <row r="167" spans="1:29" s="8" customFormat="1" ht="40.5" customHeight="1" thickBot="1" x14ac:dyDescent="0.25">
      <c r="A167" s="36"/>
      <c r="B167" s="1"/>
      <c r="C167" s="44" t="s">
        <v>84</v>
      </c>
      <c r="D167" s="45">
        <v>0</v>
      </c>
      <c r="E167" s="46">
        <v>0</v>
      </c>
      <c r="G167" s="47">
        <v>0</v>
      </c>
      <c r="H167" s="114"/>
      <c r="K167" s="39">
        <v>0</v>
      </c>
      <c r="M167" s="48">
        <v>0</v>
      </c>
    </row>
    <row r="168" spans="1:29" s="8" customFormat="1" ht="30.75" customHeight="1" thickBot="1" x14ac:dyDescent="0.25">
      <c r="A168" s="36"/>
      <c r="B168" s="1"/>
      <c r="C168" s="49" t="s">
        <v>85</v>
      </c>
      <c r="D168" s="50">
        <v>89</v>
      </c>
      <c r="E168" s="51">
        <v>54</v>
      </c>
      <c r="G168" s="52">
        <v>24949.299230769233</v>
      </c>
      <c r="H168" s="114"/>
      <c r="I168" s="9"/>
    </row>
    <row r="169" spans="1:29" s="8" customFormat="1" ht="9" customHeight="1" thickBot="1" x14ac:dyDescent="0.25">
      <c r="A169" s="36"/>
      <c r="B169" s="1"/>
      <c r="C169" s="58"/>
      <c r="D169" s="59"/>
      <c r="E169" s="60"/>
      <c r="G169" s="61"/>
      <c r="H169" s="114"/>
      <c r="I169" s="2"/>
    </row>
    <row r="170" spans="1:29" s="8" customFormat="1" ht="13.5" customHeight="1" x14ac:dyDescent="0.2">
      <c r="A170" s="36"/>
      <c r="B170" s="1"/>
      <c r="C170" s="221" t="s">
        <v>149</v>
      </c>
      <c r="D170" s="222"/>
      <c r="E170" s="62">
        <v>24</v>
      </c>
      <c r="F170" s="87"/>
      <c r="G170" s="63">
        <v>0</v>
      </c>
      <c r="H170" s="64" t="s">
        <v>150</v>
      </c>
      <c r="K170" s="13"/>
      <c r="L170" s="13"/>
      <c r="M170" s="13"/>
      <c r="AB170" s="8" t="s">
        <v>86</v>
      </c>
      <c r="AC170" s="8" t="s">
        <v>109</v>
      </c>
    </row>
    <row r="171" spans="1:29" s="8" customFormat="1" ht="13.5" customHeight="1" x14ac:dyDescent="0.2">
      <c r="A171" s="36"/>
      <c r="B171" s="1"/>
      <c r="C171" s="210" t="s">
        <v>163</v>
      </c>
      <c r="D171" s="211"/>
      <c r="E171" s="73">
        <v>30</v>
      </c>
      <c r="F171" s="87"/>
      <c r="G171" s="70">
        <v>0</v>
      </c>
      <c r="H171" s="74" t="s">
        <v>164</v>
      </c>
      <c r="K171" s="13"/>
      <c r="L171" s="13"/>
      <c r="M171" s="13"/>
    </row>
    <row r="172" spans="1:29" s="8" customFormat="1" ht="13.5" customHeight="1" x14ac:dyDescent="0.2">
      <c r="A172" s="36"/>
      <c r="B172" s="1"/>
      <c r="C172" s="210" t="s">
        <v>177</v>
      </c>
      <c r="D172" s="211"/>
      <c r="E172" s="73">
        <v>0</v>
      </c>
      <c r="F172" s="87"/>
      <c r="G172" s="70">
        <v>30</v>
      </c>
      <c r="H172" s="74" t="s">
        <v>178</v>
      </c>
      <c r="K172" s="13"/>
      <c r="L172" s="13"/>
      <c r="M172" s="13"/>
    </row>
    <row r="173" spans="1:29" s="8" customFormat="1" ht="13.5" customHeight="1" x14ac:dyDescent="0.2">
      <c r="A173" s="36"/>
      <c r="B173" s="1"/>
      <c r="C173" s="210" t="s">
        <v>181</v>
      </c>
      <c r="D173" s="211"/>
      <c r="E173" s="73">
        <v>0</v>
      </c>
      <c r="F173" s="87"/>
      <c r="G173" s="70">
        <v>5</v>
      </c>
      <c r="H173" s="74" t="s">
        <v>182</v>
      </c>
      <c r="K173" s="13"/>
      <c r="L173" s="13"/>
      <c r="M173" s="13"/>
    </row>
    <row r="174" spans="1:29" s="8" customFormat="1" ht="13.5" customHeight="1" x14ac:dyDescent="0.2">
      <c r="A174" s="36"/>
      <c r="B174" s="1"/>
      <c r="C174" s="210" t="e">
        <v>#VALUE!</v>
      </c>
      <c r="D174" s="211"/>
      <c r="E174" s="73">
        <v>0</v>
      </c>
      <c r="F174" s="87"/>
      <c r="G174" s="70">
        <v>0</v>
      </c>
      <c r="H174" s="74" t="e">
        <v>#VALUE!</v>
      </c>
      <c r="K174" s="13"/>
      <c r="L174" s="13"/>
      <c r="M174" s="13"/>
    </row>
    <row r="175" spans="1:29" s="8" customFormat="1" ht="13.5" customHeight="1" thickBot="1" x14ac:dyDescent="0.25">
      <c r="A175" s="36"/>
      <c r="B175" s="1"/>
      <c r="C175" s="212" t="e">
        <v>#VALUE!</v>
      </c>
      <c r="D175" s="213"/>
      <c r="E175" s="65">
        <v>0</v>
      </c>
      <c r="F175" s="87"/>
      <c r="G175" s="66">
        <v>0</v>
      </c>
      <c r="H175" s="67" t="e">
        <v>#VALUE!</v>
      </c>
      <c r="K175" s="13"/>
      <c r="L175" s="13"/>
      <c r="M175" s="13"/>
    </row>
    <row r="176" spans="1:29" s="8" customFormat="1" ht="12.75" x14ac:dyDescent="0.2">
      <c r="B176" s="6"/>
    </row>
    <row r="177" spans="2:2" s="8" customFormat="1" ht="12.75" x14ac:dyDescent="0.2">
      <c r="B177" s="6"/>
    </row>
    <row r="178" spans="2:2" s="8" customFormat="1" ht="12.75" x14ac:dyDescent="0.2">
      <c r="B178" s="6"/>
    </row>
    <row r="179" spans="2:2" s="8" customFormat="1" ht="12.75" x14ac:dyDescent="0.2">
      <c r="B179" s="6"/>
    </row>
    <row r="180" spans="2:2" s="8" customFormat="1" ht="12.75" x14ac:dyDescent="0.2">
      <c r="B180" s="6"/>
    </row>
    <row r="181" spans="2:2" s="8" customFormat="1" ht="12.75" x14ac:dyDescent="0.2">
      <c r="B181" s="6"/>
    </row>
    <row r="182" spans="2:2" s="8" customFormat="1" ht="12.75" x14ac:dyDescent="0.2">
      <c r="B182" s="6"/>
    </row>
    <row r="183" spans="2:2" s="8" customFormat="1" ht="12.75" x14ac:dyDescent="0.2">
      <c r="B183" s="6"/>
    </row>
    <row r="184" spans="2:2" s="8" customFormat="1" ht="12.75" x14ac:dyDescent="0.2">
      <c r="B184" s="6"/>
    </row>
    <row r="185" spans="2:2" s="8" customFormat="1" ht="12.75" x14ac:dyDescent="0.2">
      <c r="B185" s="6"/>
    </row>
    <row r="186" spans="2:2" s="8" customFormat="1" ht="12.75" x14ac:dyDescent="0.2">
      <c r="B186" s="6"/>
    </row>
    <row r="187" spans="2:2" s="8" customFormat="1" ht="12.75" x14ac:dyDescent="0.2">
      <c r="B187" s="6"/>
    </row>
    <row r="188" spans="2:2" s="8" customFormat="1" ht="12.75" x14ac:dyDescent="0.2">
      <c r="B188" s="6"/>
    </row>
    <row r="189" spans="2:2" s="8" customFormat="1" ht="12.75" x14ac:dyDescent="0.2">
      <c r="B189" s="6"/>
    </row>
    <row r="190" spans="2:2" s="8" customFormat="1" ht="12.75" x14ac:dyDescent="0.2">
      <c r="B190" s="6"/>
    </row>
    <row r="191" spans="2:2" s="8" customFormat="1" ht="12.75" x14ac:dyDescent="0.2">
      <c r="B191" s="6"/>
    </row>
    <row r="192" spans="2:2" s="8" customFormat="1" ht="12.75" x14ac:dyDescent="0.2">
      <c r="B192" s="6"/>
    </row>
    <row r="193" spans="2:2" s="8" customFormat="1" ht="12.75" x14ac:dyDescent="0.2">
      <c r="B193" s="6"/>
    </row>
    <row r="194" spans="2:2" s="8" customFormat="1" ht="12.75" x14ac:dyDescent="0.2">
      <c r="B194" s="6"/>
    </row>
    <row r="195" spans="2:2" s="8" customFormat="1" ht="12.75" x14ac:dyDescent="0.2">
      <c r="B195" s="6"/>
    </row>
    <row r="196" spans="2:2" s="8" customFormat="1" ht="12.75" x14ac:dyDescent="0.2">
      <c r="B196" s="6"/>
    </row>
    <row r="197" spans="2:2" s="8" customFormat="1" ht="12.75" x14ac:dyDescent="0.2">
      <c r="B197" s="6"/>
    </row>
    <row r="198" spans="2:2" s="8" customFormat="1" ht="12.75" x14ac:dyDescent="0.2">
      <c r="B198" s="6"/>
    </row>
    <row r="199" spans="2:2" s="8" customFormat="1" ht="12.75" x14ac:dyDescent="0.2">
      <c r="B199" s="6"/>
    </row>
    <row r="200" spans="2:2" s="8" customFormat="1" ht="12.75" x14ac:dyDescent="0.2">
      <c r="B200" s="6"/>
    </row>
    <row r="201" spans="2:2" s="8" customFormat="1" ht="12.75" x14ac:dyDescent="0.2">
      <c r="B201" s="6"/>
    </row>
    <row r="202" spans="2:2" s="8" customFormat="1" ht="12.75" x14ac:dyDescent="0.2">
      <c r="B202" s="6"/>
    </row>
    <row r="203" spans="2:2" s="8" customFormat="1" ht="12.75" x14ac:dyDescent="0.2">
      <c r="B203" s="6"/>
    </row>
    <row r="204" spans="2:2" s="8" customFormat="1" ht="12.75" x14ac:dyDescent="0.2">
      <c r="B204" s="6"/>
    </row>
    <row r="205" spans="2:2" s="8" customFormat="1" ht="12.75" x14ac:dyDescent="0.2">
      <c r="B205" s="6"/>
    </row>
    <row r="206" spans="2:2" s="8" customFormat="1" ht="12.75" x14ac:dyDescent="0.2">
      <c r="B206" s="6"/>
    </row>
    <row r="207" spans="2:2" s="8" customFormat="1" ht="12.75" x14ac:dyDescent="0.2">
      <c r="B207" s="6"/>
    </row>
    <row r="208" spans="2:2" s="8" customFormat="1" ht="12.75" x14ac:dyDescent="0.2">
      <c r="B208" s="6"/>
    </row>
    <row r="209" spans="2:2" s="8" customFormat="1" ht="12.75" x14ac:dyDescent="0.2">
      <c r="B209" s="6"/>
    </row>
    <row r="210" spans="2:2" s="8" customFormat="1" ht="12.75" x14ac:dyDescent="0.2">
      <c r="B210" s="6"/>
    </row>
    <row r="211" spans="2:2" s="8" customFormat="1" ht="12.75" x14ac:dyDescent="0.2">
      <c r="B211" s="6"/>
    </row>
    <row r="212" spans="2:2" s="8" customFormat="1" ht="12.75" x14ac:dyDescent="0.2">
      <c r="B212" s="6"/>
    </row>
    <row r="213" spans="2:2" s="8" customFormat="1" ht="12.75" x14ac:dyDescent="0.2">
      <c r="B213" s="6"/>
    </row>
    <row r="214" spans="2:2" s="8" customFormat="1" ht="12.75" x14ac:dyDescent="0.2">
      <c r="B214" s="6"/>
    </row>
    <row r="215" spans="2:2" s="8" customFormat="1" ht="12.75" x14ac:dyDescent="0.2">
      <c r="B215" s="6"/>
    </row>
    <row r="216" spans="2:2" s="8" customFormat="1" ht="12.75" x14ac:dyDescent="0.2">
      <c r="B216" s="6"/>
    </row>
    <row r="217" spans="2:2" s="8" customFormat="1" ht="12.75" x14ac:dyDescent="0.2">
      <c r="B217" s="6"/>
    </row>
    <row r="218" spans="2:2" s="8" customFormat="1" ht="12.75" x14ac:dyDescent="0.2">
      <c r="B218" s="6"/>
    </row>
    <row r="219" spans="2:2" s="8" customFormat="1" ht="12.75" x14ac:dyDescent="0.2">
      <c r="B219" s="6"/>
    </row>
    <row r="220" spans="2:2" s="8" customFormat="1" ht="12.75" x14ac:dyDescent="0.2">
      <c r="B220" s="6"/>
    </row>
    <row r="221" spans="2:2" s="8" customFormat="1" ht="12.75" x14ac:dyDescent="0.2">
      <c r="B221" s="6"/>
    </row>
    <row r="222" spans="2:2" s="8" customFormat="1" ht="12.75" x14ac:dyDescent="0.2">
      <c r="B222" s="6"/>
    </row>
    <row r="223" spans="2:2" s="8" customFormat="1" ht="12.75" x14ac:dyDescent="0.2">
      <c r="B223" s="6"/>
    </row>
    <row r="224" spans="2:2" s="8" customFormat="1" ht="12.75" x14ac:dyDescent="0.2">
      <c r="B224" s="6"/>
    </row>
    <row r="225" spans="2:2" s="8" customFormat="1" ht="12.75" x14ac:dyDescent="0.2">
      <c r="B225" s="6"/>
    </row>
    <row r="226" spans="2:2" s="8" customFormat="1" ht="12.75" x14ac:dyDescent="0.2">
      <c r="B226" s="6"/>
    </row>
    <row r="227" spans="2:2" s="8" customFormat="1" ht="12.75" x14ac:dyDescent="0.2">
      <c r="B227" s="6"/>
    </row>
    <row r="228" spans="2:2" s="8" customFormat="1" ht="12.75" x14ac:dyDescent="0.2">
      <c r="B228" s="6"/>
    </row>
    <row r="229" spans="2:2" s="8" customFormat="1" ht="12.75" x14ac:dyDescent="0.2">
      <c r="B229" s="6"/>
    </row>
    <row r="230" spans="2:2" s="8" customFormat="1" ht="12.75" x14ac:dyDescent="0.2">
      <c r="B230" s="6"/>
    </row>
    <row r="231" spans="2:2" s="8" customFormat="1" ht="12.75" x14ac:dyDescent="0.2">
      <c r="B231" s="6"/>
    </row>
    <row r="232" spans="2:2" s="8" customFormat="1" ht="12.75" x14ac:dyDescent="0.2">
      <c r="B232" s="6"/>
    </row>
    <row r="233" spans="2:2" s="8" customFormat="1" ht="12.75" x14ac:dyDescent="0.2">
      <c r="B233" s="6"/>
    </row>
    <row r="234" spans="2:2" s="8" customFormat="1" ht="12.75" x14ac:dyDescent="0.2">
      <c r="B234" s="6"/>
    </row>
    <row r="235" spans="2:2" s="8" customFormat="1" ht="12.75" x14ac:dyDescent="0.2">
      <c r="B235" s="6"/>
    </row>
    <row r="236" spans="2:2" s="8" customFormat="1" ht="12.75" x14ac:dyDescent="0.2">
      <c r="B236" s="6"/>
    </row>
    <row r="237" spans="2:2" s="8" customFormat="1" ht="12.75" x14ac:dyDescent="0.2">
      <c r="B237" s="6"/>
    </row>
    <row r="238" spans="2:2" s="8" customFormat="1" ht="12.75" x14ac:dyDescent="0.2">
      <c r="B238" s="6"/>
    </row>
    <row r="239" spans="2:2" s="8" customFormat="1" ht="12.75" x14ac:dyDescent="0.2">
      <c r="B239" s="6"/>
    </row>
    <row r="240" spans="2:2" s="8" customFormat="1" ht="12.75" x14ac:dyDescent="0.2">
      <c r="B240" s="6"/>
    </row>
    <row r="241" spans="2:47" s="8" customFormat="1" ht="12.75" x14ac:dyDescent="0.2">
      <c r="B241" s="6"/>
    </row>
    <row r="242" spans="2:47" s="8" customFormat="1" ht="12.75" x14ac:dyDescent="0.2">
      <c r="B242" s="6"/>
    </row>
    <row r="243" spans="2:47" s="8" customFormat="1" ht="12.75" x14ac:dyDescent="0.2">
      <c r="B243" s="6"/>
    </row>
    <row r="244" spans="2:47" s="8" customFormat="1" ht="12.75" x14ac:dyDescent="0.2">
      <c r="B244" s="6"/>
    </row>
    <row r="245" spans="2:47" s="8" customFormat="1" ht="12.75" x14ac:dyDescent="0.2">
      <c r="B245" s="6"/>
    </row>
    <row r="246" spans="2:47" s="8" customFormat="1" ht="12.75" x14ac:dyDescent="0.2">
      <c r="B246" s="6"/>
    </row>
    <row r="247" spans="2:47" s="8" customFormat="1" ht="12.75" x14ac:dyDescent="0.2">
      <c r="B247" s="6"/>
    </row>
    <row r="248" spans="2:47" s="8" customFormat="1" x14ac:dyDescent="0.2">
      <c r="B248" s="6"/>
      <c r="AN248" s="77"/>
      <c r="AO248" s="77"/>
      <c r="AP248" s="77"/>
      <c r="AQ248" s="77"/>
      <c r="AR248" s="77"/>
      <c r="AS248" s="77"/>
      <c r="AT248" s="77"/>
      <c r="AU248" s="77"/>
    </row>
  </sheetData>
  <sheetProtection algorithmName="SHA-512" hashValue="HC1mEGndNOY4p0LV2a1/hRu9k36g5iu+sZhiial/ufRqtzyNuhWH7As2t6TcUip9PeosWqQthTcZ7S/WuYCwPQ==" saltValue="T6kpAzc2nHQw0XZ2BPD/aQ==" spinCount="100000" sheet="1" objects="1" scenarios="1" formatCells="0" formatColumns="0" formatRows="0" insertColumns="0" insertRows="0" insertHyperlinks="0" sort="0" autoFilter="0" pivotTables="0"/>
  <mergeCells count="52">
    <mergeCell ref="C1:H1"/>
    <mergeCell ref="D4:G4"/>
    <mergeCell ref="D6:G6"/>
    <mergeCell ref="C9:D9"/>
    <mergeCell ref="C11:D11"/>
    <mergeCell ref="C2:I2"/>
    <mergeCell ref="C13:D13"/>
    <mergeCell ref="F13:H13"/>
    <mergeCell ref="C19:E19"/>
    <mergeCell ref="C21:E21"/>
    <mergeCell ref="G21:H21"/>
    <mergeCell ref="C150:D150"/>
    <mergeCell ref="C59:D59"/>
    <mergeCell ref="C80:D80"/>
    <mergeCell ref="J40:N40"/>
    <mergeCell ref="D27:E27"/>
    <mergeCell ref="G27:H27"/>
    <mergeCell ref="C149:D149"/>
    <mergeCell ref="C101:D101"/>
    <mergeCell ref="C102:D102"/>
    <mergeCell ref="C123:D123"/>
    <mergeCell ref="C124:D124"/>
    <mergeCell ref="C125:D125"/>
    <mergeCell ref="C146:D146"/>
    <mergeCell ref="C147:D147"/>
    <mergeCell ref="C148:D148"/>
    <mergeCell ref="C103:D103"/>
    <mergeCell ref="C126:D126"/>
    <mergeCell ref="C32:E32"/>
    <mergeCell ref="G32:H32"/>
    <mergeCell ref="C33:F33"/>
    <mergeCell ref="C60:D60"/>
    <mergeCell ref="C81:D81"/>
    <mergeCell ref="D28:E28"/>
    <mergeCell ref="G28:H28"/>
    <mergeCell ref="D29:E29"/>
    <mergeCell ref="C23:C30"/>
    <mergeCell ref="D30:E30"/>
    <mergeCell ref="D23:E23"/>
    <mergeCell ref="G23:H23"/>
    <mergeCell ref="D24:E24"/>
    <mergeCell ref="G24:H24"/>
    <mergeCell ref="D25:E25"/>
    <mergeCell ref="G25:H25"/>
    <mergeCell ref="D26:E26"/>
    <mergeCell ref="G26:H26"/>
    <mergeCell ref="C175:D175"/>
    <mergeCell ref="C170:D170"/>
    <mergeCell ref="C171:D171"/>
    <mergeCell ref="C172:D172"/>
    <mergeCell ref="C173:D173"/>
    <mergeCell ref="C174:D174"/>
  </mergeCells>
  <conditionalFormatting sqref="C56:D56 G56:H56">
    <cfRule type="expression" dxfId="51" priority="27">
      <formula>$AC$56="NON"</formula>
    </cfRule>
  </conditionalFormatting>
  <conditionalFormatting sqref="C76:D76 G76:H76">
    <cfRule type="expression" dxfId="50" priority="36">
      <formula>$AC$76="NON"</formula>
    </cfRule>
  </conditionalFormatting>
  <conditionalFormatting sqref="C97:D97 G97:H97">
    <cfRule type="expression" dxfId="49" priority="30">
      <formula>$AC$97="NON"</formula>
    </cfRule>
  </conditionalFormatting>
  <conditionalFormatting sqref="C142:D142">
    <cfRule type="expression" dxfId="48" priority="3">
      <formula>$AC$141="NON"</formula>
    </cfRule>
  </conditionalFormatting>
  <conditionalFormatting sqref="C63:E74 G63:H74 G84:H95 G106:H117 C43:E54 G43:H54">
    <cfRule type="expression" dxfId="47" priority="44">
      <formula>$AB43="NON"</formula>
    </cfRule>
  </conditionalFormatting>
  <conditionalFormatting sqref="C84:E95">
    <cfRule type="expression" dxfId="46" priority="43">
      <formula>$AB84="NON"</formula>
    </cfRule>
  </conditionalFormatting>
  <conditionalFormatting sqref="C101:E101">
    <cfRule type="expression" dxfId="45" priority="12">
      <formula>$AC$102="NON"</formula>
    </cfRule>
  </conditionalFormatting>
  <conditionalFormatting sqref="C106:E117">
    <cfRule type="expression" dxfId="44" priority="42">
      <formula>$AB106="NON"</formula>
    </cfRule>
  </conditionalFormatting>
  <conditionalFormatting sqref="C129:E140">
    <cfRule type="expression" dxfId="43" priority="41">
      <formula>$AB129="NON"</formula>
    </cfRule>
  </conditionalFormatting>
  <conditionalFormatting sqref="C153:E164">
    <cfRule type="expression" dxfId="42" priority="8">
      <formula>$AB153="NON"</formula>
    </cfRule>
  </conditionalFormatting>
  <conditionalFormatting sqref="C60:H60">
    <cfRule type="expression" dxfId="41" priority="16">
      <formula>$AC$60="NON"</formula>
    </cfRule>
  </conditionalFormatting>
  <conditionalFormatting sqref="C80:H81">
    <cfRule type="expression" dxfId="40" priority="15">
      <formula>$AC$80="NON"</formula>
    </cfRule>
  </conditionalFormatting>
  <conditionalFormatting sqref="C101:H103">
    <cfRule type="expression" dxfId="39" priority="10">
      <formula>$AC$102="NON"</formula>
    </cfRule>
  </conditionalFormatting>
  <conditionalFormatting sqref="C123:H126">
    <cfRule type="expression" dxfId="38" priority="14">
      <formula>$AC$123="NON"</formula>
    </cfRule>
  </conditionalFormatting>
  <conditionalFormatting sqref="C142:H142">
    <cfRule type="expression" dxfId="37" priority="2">
      <formula>$C$106=""</formula>
    </cfRule>
  </conditionalFormatting>
  <conditionalFormatting sqref="C146:H150">
    <cfRule type="expression" dxfId="36" priority="49">
      <formula>$AC$146="NON"</formula>
    </cfRule>
  </conditionalFormatting>
  <conditionalFormatting sqref="C170:H175">
    <cfRule type="expression" dxfId="35" priority="48">
      <formula>$AC$170="NON"</formula>
    </cfRule>
  </conditionalFormatting>
  <conditionalFormatting sqref="C62:M81 E123:H126">
    <cfRule type="expression" dxfId="34" priority="25">
      <formula>$C$63=""</formula>
    </cfRule>
  </conditionalFormatting>
  <conditionalFormatting sqref="C83:M103">
    <cfRule type="expression" dxfId="33" priority="24">
      <formula>$C$84=""</formula>
    </cfRule>
  </conditionalFormatting>
  <conditionalFormatting sqref="C100:M101">
    <cfRule type="expression" dxfId="32" priority="21">
      <formula>$C$63=""</formula>
    </cfRule>
  </conditionalFormatting>
  <conditionalFormatting sqref="C105:M126">
    <cfRule type="expression" dxfId="31" priority="23">
      <formula>$C$106=""</formula>
    </cfRule>
  </conditionalFormatting>
  <conditionalFormatting sqref="C122:M122">
    <cfRule type="expression" dxfId="30" priority="20">
      <formula>$C$63=""</formula>
    </cfRule>
  </conditionalFormatting>
  <conditionalFormatting sqref="C128:M145">
    <cfRule type="expression" dxfId="29" priority="28">
      <formula>$C$129=""</formula>
    </cfRule>
  </conditionalFormatting>
  <conditionalFormatting sqref="C145:M145">
    <cfRule type="expression" dxfId="28" priority="19">
      <formula>$C$63=""</formula>
    </cfRule>
  </conditionalFormatting>
  <conditionalFormatting sqref="C152:M175">
    <cfRule type="expression" dxfId="27" priority="5">
      <formula>$C$153=""</formula>
    </cfRule>
  </conditionalFormatting>
  <conditionalFormatting sqref="C169:M169">
    <cfRule type="expression" dxfId="26" priority="4">
      <formula>$C$63=""</formula>
    </cfRule>
  </conditionalFormatting>
  <conditionalFormatting sqref="D57">
    <cfRule type="cellIs" dxfId="25" priority="26" operator="greaterThan">
      <formula>30</formula>
    </cfRule>
  </conditionalFormatting>
  <conditionalFormatting sqref="D142">
    <cfRule type="notContainsBlanks" dxfId="24" priority="50">
      <formula>LEN(TRIM(D142))&gt;0</formula>
    </cfRule>
  </conditionalFormatting>
  <conditionalFormatting sqref="E101">
    <cfRule type="expression" dxfId="23" priority="13">
      <formula>$C$63=""</formula>
    </cfRule>
  </conditionalFormatting>
  <conditionalFormatting sqref="E80:H81">
    <cfRule type="expression" dxfId="22" priority="22">
      <formula>$C$63=""</formula>
    </cfRule>
  </conditionalFormatting>
  <conditionalFormatting sqref="E101:H103">
    <cfRule type="expression" dxfId="21" priority="11">
      <formula>$C$63=""</formula>
    </cfRule>
  </conditionalFormatting>
  <conditionalFormatting sqref="F23:F29">
    <cfRule type="expression" dxfId="20" priority="1">
      <formula>D23=""</formula>
    </cfRule>
  </conditionalFormatting>
  <conditionalFormatting sqref="G101">
    <cfRule type="expression" dxfId="19" priority="46">
      <formula>$AC$102="NON"</formula>
    </cfRule>
    <cfRule type="expression" dxfId="18" priority="47">
      <formula>$C$63=""</formula>
    </cfRule>
  </conditionalFormatting>
  <conditionalFormatting sqref="G129:H140 D43:E54 G43:H54 D63:E74 G63:H74 G84:H95 G106:H117 D84:E95 D106:E117 D129:E140 K63:K74 K84:K95 K106:K117 K43:K54 D76 M84:M95 M106:M117 K129:K140 M43:M54 M129:M140 D97 D119 D56 M63:M74 D4:G4 D6:G6 E9:F9 D15 D17 D37:D38">
    <cfRule type="notContainsBlanks" dxfId="17" priority="52">
      <formula>LEN(TRIM(D4))&gt;0</formula>
    </cfRule>
  </conditionalFormatting>
  <conditionalFormatting sqref="G129:H140">
    <cfRule type="expression" dxfId="16" priority="45">
      <formula>$AB129="NON"</formula>
    </cfRule>
  </conditionalFormatting>
  <conditionalFormatting sqref="G142:H142 C119:D119 G119:H119">
    <cfRule type="expression" dxfId="15" priority="29">
      <formula>$AC$119="NON"</formula>
    </cfRule>
  </conditionalFormatting>
  <conditionalFormatting sqref="G153:H164 D153:E164 K153:K164 M153:M164">
    <cfRule type="notContainsBlanks" dxfId="14" priority="51">
      <formula>LEN(TRIM(D153))&gt;0</formula>
    </cfRule>
  </conditionalFormatting>
  <conditionalFormatting sqref="G153:H164">
    <cfRule type="expression" dxfId="13" priority="9">
      <formula>$AB153="NON"</formula>
    </cfRule>
  </conditionalFormatting>
  <conditionalFormatting sqref="J43:K54">
    <cfRule type="expression" dxfId="12" priority="37">
      <formula>$AB43="NON"</formula>
    </cfRule>
  </conditionalFormatting>
  <conditionalFormatting sqref="J63:K74">
    <cfRule type="expression" dxfId="11" priority="40">
      <formula>$AB63="NON"</formula>
    </cfRule>
  </conditionalFormatting>
  <conditionalFormatting sqref="J84:K95">
    <cfRule type="expression" dxfId="10" priority="39">
      <formula>$AB84="NON"</formula>
    </cfRule>
  </conditionalFormatting>
  <conditionalFormatting sqref="J106:K117">
    <cfRule type="expression" dxfId="9" priority="38">
      <formula>$AB106="NON"</formula>
    </cfRule>
  </conditionalFormatting>
  <conditionalFormatting sqref="J129:K140">
    <cfRule type="expression" dxfId="8" priority="33">
      <formula>$AB129="NON"</formula>
    </cfRule>
  </conditionalFormatting>
  <conditionalFormatting sqref="J153:K164">
    <cfRule type="expression" dxfId="7" priority="7">
      <formula>$AB153="NON"</formula>
    </cfRule>
  </conditionalFormatting>
  <conditionalFormatting sqref="K2">
    <cfRule type="containsBlanks" dxfId="6" priority="18">
      <formula>LEN(TRIM(K2))=0</formula>
    </cfRule>
  </conditionalFormatting>
  <conditionalFormatting sqref="M43:M54">
    <cfRule type="expression" dxfId="5" priority="32">
      <formula>$AB43="NON"</formula>
    </cfRule>
  </conditionalFormatting>
  <conditionalFormatting sqref="M84:M95">
    <cfRule type="expression" dxfId="4" priority="35">
      <formula>$AB84="NON"</formula>
    </cfRule>
  </conditionalFormatting>
  <conditionalFormatting sqref="M106:M117">
    <cfRule type="expression" dxfId="3" priority="34">
      <formula>$AB106="NON"</formula>
    </cfRule>
  </conditionalFormatting>
  <conditionalFormatting sqref="M129:M140">
    <cfRule type="expression" dxfId="2" priority="31">
      <formula>$AB129="NON"</formula>
    </cfRule>
  </conditionalFormatting>
  <conditionalFormatting sqref="M153:M164">
    <cfRule type="expression" dxfId="1" priority="6">
      <formula>$AB153="NON"</formula>
    </cfRule>
  </conditionalFormatting>
  <conditionalFormatting sqref="AE2:AF2">
    <cfRule type="expression" dxfId="0" priority="17">
      <formula>$C$63=""</formula>
    </cfRule>
  </conditionalFormatting>
  <dataValidations count="1">
    <dataValidation type="list" showInputMessage="1" showErrorMessage="1" sqref="K2" xr:uid="{BF73CFBA-9982-4A9F-80D4-BF444250FE23}">
      <formula1>"NET,BRUT"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8</vt:i4>
      </vt:variant>
    </vt:vector>
  </HeadingPairs>
  <TitlesOfParts>
    <vt:vector size="12" baseType="lpstr">
      <vt:lpstr>CP comp maintien - 10% jrs pris</vt:lpstr>
      <vt:lpstr>Ind Comp. de Congés Payés</vt:lpstr>
      <vt:lpstr>Exemple CP comp maintien-10%</vt:lpstr>
      <vt:lpstr>Exemple Ind Comp. de CP</vt:lpstr>
      <vt:lpstr>'Ind Comp. de Congés Payés'!base_ICCP</vt:lpstr>
      <vt:lpstr>base_ICCP</vt:lpstr>
      <vt:lpstr>'CP comp maintien - 10% jrs pris'!Base_iccp_3105</vt:lpstr>
      <vt:lpstr>Base_iccp_3105</vt:lpstr>
      <vt:lpstr>'Ind Comp. de Congés Payés'!bd</vt:lpstr>
      <vt:lpstr>bd</vt:lpstr>
      <vt:lpstr>'CP comp maintien - 10% jrs pris'!Bd_3105</vt:lpstr>
      <vt:lpstr>Bd_3105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cp:lastPrinted>2025-04-14T18:37:08Z</cp:lastPrinted>
  <dcterms:created xsi:type="dcterms:W3CDTF">2021-02-14T18:04:12Z</dcterms:created>
  <dcterms:modified xsi:type="dcterms:W3CDTF">2025-05-07T11:01:31Z</dcterms:modified>
</cp:coreProperties>
</file>