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Mon Drive\Clé usb\FoFGTA\Saint Pierre et Miquelon\"/>
    </mc:Choice>
  </mc:AlternateContent>
  <xr:revisionPtr revIDLastSave="0" documentId="13_ncr:1_{17BAAED3-FF3A-4A80-8AB0-A84655C3427F}" xr6:coauthVersionLast="47" xr6:coauthVersionMax="47" xr10:uidLastSave="{00000000-0000-0000-0000-000000000000}"/>
  <bookViews>
    <workbookView xWindow="-120" yWindow="-120" windowWidth="20730" windowHeight="11160" xr2:uid="{00000000-000D-0000-FFFF-FFFF00000000}"/>
  </bookViews>
  <sheets>
    <sheet name="Bulletin simple" sheetId="1" r:id="rId1"/>
    <sheet name="Retenue sur salaire" sheetId="2" r:id="rId2"/>
    <sheet name="Déclaration Pajemploi" sheetId="3" r:id="rId3"/>
    <sheet name="Exemple" sheetId="5" r:id="rId4"/>
    <sheet name="Taux_cotisations" sheetId="4" state="hidden" r:id="rId5"/>
  </sheets>
  <definedNames>
    <definedName name="base_pajemploi">#REF!</definedName>
    <definedName name="base_smic">'Bulletin simple'!$AR$18:$AS$24</definedName>
    <definedName name="HR_HM">'Bulletin simple'!$BX$1:$BX$2</definedName>
    <definedName name="table_coef_base_patronale">Taux_cotisations!$A$110:$M$137</definedName>
    <definedName name="table_coef_base_salariale">Taux_cotisations!$A$75:$M$102</definedName>
    <definedName name="table_taux_patronales">Taux_cotisations!$A$39:$M$65</definedName>
    <definedName name="table_taux_salariale">Taux_cotisations!$A$6:$M$32</definedName>
    <definedName name="_xlnm.Print_Area" localSheetId="0">'Bulletin simple'!$A$1:$AO$88</definedName>
    <definedName name="_xlnm.Print_Area" localSheetId="2">'Déclaration Pajemploi'!$A$1:$C$57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6" i="1" l="1"/>
  <c r="K46" i="1"/>
  <c r="A46" i="1"/>
  <c r="A57" i="4"/>
  <c r="A19" i="4"/>
  <c r="A23" i="4"/>
  <c r="B19" i="4"/>
  <c r="AR27" i="1"/>
  <c r="AL15" i="1" s="1"/>
  <c r="AR11" i="1"/>
  <c r="B52" i="4"/>
  <c r="B56" i="4"/>
  <c r="C10" i="4"/>
  <c r="D10" i="4" s="1"/>
  <c r="E10" i="4" s="1"/>
  <c r="F10" i="4" s="1"/>
  <c r="G10" i="4" s="1"/>
  <c r="H10" i="4" s="1"/>
  <c r="I10" i="4" s="1"/>
  <c r="J10" i="4" s="1"/>
  <c r="K10" i="4" s="1"/>
  <c r="L10" i="4" s="1"/>
  <c r="M10" i="4" s="1"/>
  <c r="C130" i="4"/>
  <c r="D130" i="4" s="1"/>
  <c r="E130" i="4" s="1"/>
  <c r="F130" i="4" s="1"/>
  <c r="G130" i="4" s="1"/>
  <c r="H130" i="4" s="1"/>
  <c r="I130" i="4" s="1"/>
  <c r="J130" i="4" s="1"/>
  <c r="K130" i="4" s="1"/>
  <c r="L130" i="4" s="1"/>
  <c r="M130" i="4" s="1"/>
  <c r="C58" i="4"/>
  <c r="D58" i="4" s="1"/>
  <c r="E58" i="4" s="1"/>
  <c r="F58" i="4" s="1"/>
  <c r="G58" i="4" s="1"/>
  <c r="H58" i="4" s="1"/>
  <c r="I58" i="4" s="1"/>
  <c r="J58" i="4" s="1"/>
  <c r="K58" i="4" s="1"/>
  <c r="L58" i="4" s="1"/>
  <c r="M58" i="4" s="1"/>
  <c r="C60" i="4" l="1"/>
  <c r="D60" i="4" s="1"/>
  <c r="E60" i="4" s="1"/>
  <c r="F60" i="4" s="1"/>
  <c r="G60" i="4" s="1"/>
  <c r="H60" i="4" s="1"/>
  <c r="I60" i="4" s="1"/>
  <c r="J60" i="4" s="1"/>
  <c r="K60" i="4" s="1"/>
  <c r="L60" i="4" s="1"/>
  <c r="M60" i="4" s="1"/>
  <c r="B6" i="4" a="1"/>
  <c r="B6" i="4" s="1"/>
  <c r="A21" i="1"/>
  <c r="A19" i="1"/>
  <c r="AB37" i="1" l="1"/>
  <c r="AC37" i="1"/>
  <c r="AN37" i="1"/>
  <c r="AB38" i="1"/>
  <c r="AC38" i="1"/>
  <c r="AN38" i="1"/>
  <c r="AB39" i="1"/>
  <c r="AC39" i="1"/>
  <c r="AN39" i="1"/>
  <c r="BH23" i="1"/>
  <c r="A54" i="1"/>
  <c r="A50" i="1"/>
  <c r="A45" i="1"/>
  <c r="A44" i="1"/>
  <c r="A42" i="1"/>
  <c r="A38" i="1"/>
  <c r="K38" i="1" s="1"/>
  <c r="A37" i="1"/>
  <c r="C6" i="4"/>
  <c r="D6" i="4" s="1"/>
  <c r="D39" i="4" s="1"/>
  <c r="D75" i="4" s="1"/>
  <c r="D110" i="4" s="1"/>
  <c r="C11" i="4"/>
  <c r="D11" i="4" s="1"/>
  <c r="C15" i="4"/>
  <c r="D15" i="4" s="1"/>
  <c r="E15" i="4" s="1"/>
  <c r="F15" i="4" s="1"/>
  <c r="G15" i="4" s="1"/>
  <c r="H15" i="4" s="1"/>
  <c r="I15" i="4" s="1"/>
  <c r="J15" i="4" s="1"/>
  <c r="K15" i="4" s="1"/>
  <c r="L15" i="4" s="1"/>
  <c r="M15" i="4" s="1"/>
  <c r="C16" i="4"/>
  <c r="D16" i="4" s="1"/>
  <c r="E16" i="4" s="1"/>
  <c r="F16" i="4" s="1"/>
  <c r="G16" i="4" s="1"/>
  <c r="H16" i="4" s="1"/>
  <c r="I16" i="4" s="1"/>
  <c r="J16" i="4" s="1"/>
  <c r="K16" i="4" s="1"/>
  <c r="L16" i="4" s="1"/>
  <c r="M16" i="4" s="1"/>
  <c r="C17" i="4"/>
  <c r="C18" i="4"/>
  <c r="D18" i="4" s="1"/>
  <c r="E18" i="4" s="1"/>
  <c r="F18" i="4" s="1"/>
  <c r="G18" i="4" s="1"/>
  <c r="H18" i="4" s="1"/>
  <c r="I18" i="4" s="1"/>
  <c r="J18" i="4" s="1"/>
  <c r="K18" i="4" s="1"/>
  <c r="L18" i="4" s="1"/>
  <c r="M18" i="4" s="1"/>
  <c r="A52" i="4"/>
  <c r="C20" i="4"/>
  <c r="D20" i="4" s="1"/>
  <c r="E20" i="4" s="1"/>
  <c r="F20" i="4" s="1"/>
  <c r="G20" i="4" s="1"/>
  <c r="H20" i="4" s="1"/>
  <c r="I20" i="4" s="1"/>
  <c r="J20" i="4" s="1"/>
  <c r="K20" i="4" s="1"/>
  <c r="L20" i="4" s="1"/>
  <c r="M20" i="4" s="1"/>
  <c r="C21" i="4"/>
  <c r="D21" i="4" s="1"/>
  <c r="E21" i="4" s="1"/>
  <c r="F21" i="4" s="1"/>
  <c r="G21" i="4" s="1"/>
  <c r="H21" i="4" s="1"/>
  <c r="I21" i="4" s="1"/>
  <c r="J21" i="4" s="1"/>
  <c r="K21" i="4" s="1"/>
  <c r="L21" i="4" s="1"/>
  <c r="M21" i="4" s="1"/>
  <c r="C22" i="4"/>
  <c r="D22" i="4" s="1"/>
  <c r="E22" i="4" s="1"/>
  <c r="F22" i="4" s="1"/>
  <c r="G22" i="4" s="1"/>
  <c r="H22" i="4" s="1"/>
  <c r="I22" i="4" s="1"/>
  <c r="J22" i="4" s="1"/>
  <c r="K22" i="4" s="1"/>
  <c r="L22" i="4" s="1"/>
  <c r="M22" i="4" s="1"/>
  <c r="C23" i="4"/>
  <c r="D23" i="4" s="1"/>
  <c r="E23" i="4" s="1"/>
  <c r="F23" i="4" s="1"/>
  <c r="G23" i="4" s="1"/>
  <c r="H23" i="4" s="1"/>
  <c r="I23" i="4" s="1"/>
  <c r="J23" i="4" s="1"/>
  <c r="K23" i="4" s="1"/>
  <c r="L23" i="4" s="1"/>
  <c r="M23" i="4" s="1"/>
  <c r="C29" i="4"/>
  <c r="D29" i="4" s="1"/>
  <c r="E29" i="4" s="1"/>
  <c r="F29" i="4" s="1"/>
  <c r="G29" i="4" s="1"/>
  <c r="H29" i="4" s="1"/>
  <c r="I29" i="4" s="1"/>
  <c r="J29" i="4" s="1"/>
  <c r="K29" i="4" s="1"/>
  <c r="L29" i="4" s="1"/>
  <c r="M29" i="4" s="1"/>
  <c r="C30" i="4"/>
  <c r="D30" i="4" s="1"/>
  <c r="E30" i="4" s="1"/>
  <c r="F30" i="4" s="1"/>
  <c r="G30" i="4" s="1"/>
  <c r="H30" i="4" s="1"/>
  <c r="I30" i="4" s="1"/>
  <c r="J30" i="4" s="1"/>
  <c r="K30" i="4" s="1"/>
  <c r="L30" i="4" s="1"/>
  <c r="M30" i="4" s="1"/>
  <c r="C31" i="4"/>
  <c r="D31" i="4" s="1"/>
  <c r="E31" i="4" s="1"/>
  <c r="F31" i="4" s="1"/>
  <c r="G31" i="4" s="1"/>
  <c r="H31" i="4" s="1"/>
  <c r="I31" i="4" s="1"/>
  <c r="J31" i="4" s="1"/>
  <c r="K31" i="4" s="1"/>
  <c r="L31" i="4" s="1"/>
  <c r="M31" i="4" s="1"/>
  <c r="C32" i="4"/>
  <c r="D32" i="4" s="1"/>
  <c r="E32" i="4" s="1"/>
  <c r="F32" i="4" s="1"/>
  <c r="G32" i="4" s="1"/>
  <c r="H32" i="4" s="1"/>
  <c r="I32" i="4" s="1"/>
  <c r="J32" i="4" s="1"/>
  <c r="K32" i="4" s="1"/>
  <c r="L32" i="4" s="1"/>
  <c r="M32" i="4" s="1"/>
  <c r="A42" i="4"/>
  <c r="A43" i="4"/>
  <c r="C43" i="4"/>
  <c r="D43" i="4" s="1"/>
  <c r="E43" i="4" s="1"/>
  <c r="F43" i="4" s="1"/>
  <c r="A44" i="4"/>
  <c r="C44" i="4"/>
  <c r="D44" i="4" s="1"/>
  <c r="E44" i="4" s="1"/>
  <c r="F44" i="4" s="1"/>
  <c r="G44" i="4" s="1"/>
  <c r="H44" i="4" s="1"/>
  <c r="I44" i="4" s="1"/>
  <c r="J44" i="4" s="1"/>
  <c r="K44" i="4" s="1"/>
  <c r="L44" i="4" s="1"/>
  <c r="M44" i="4" s="1"/>
  <c r="A45" i="4"/>
  <c r="C45" i="4"/>
  <c r="D45" i="4" s="1"/>
  <c r="E45" i="4" s="1"/>
  <c r="F45" i="4" s="1"/>
  <c r="G45" i="4" s="1"/>
  <c r="H45" i="4" s="1"/>
  <c r="I45" i="4" s="1"/>
  <c r="J45" i="4" s="1"/>
  <c r="K45" i="4" s="1"/>
  <c r="L45" i="4" s="1"/>
  <c r="M45" i="4" s="1"/>
  <c r="A46" i="4"/>
  <c r="C46" i="4"/>
  <c r="D46" i="4" s="1"/>
  <c r="E46" i="4" s="1"/>
  <c r="F46" i="4" s="1"/>
  <c r="G46" i="4" s="1"/>
  <c r="H46" i="4" s="1"/>
  <c r="I46" i="4" s="1"/>
  <c r="J46" i="4" s="1"/>
  <c r="K46" i="4" s="1"/>
  <c r="L46" i="4" s="1"/>
  <c r="M46" i="4" s="1"/>
  <c r="A47" i="4"/>
  <c r="A48" i="4"/>
  <c r="C48" i="4"/>
  <c r="D48" i="4" s="1"/>
  <c r="E48" i="4" s="1"/>
  <c r="F48" i="4" s="1"/>
  <c r="G48" i="4" s="1"/>
  <c r="H48" i="4" s="1"/>
  <c r="I48" i="4" s="1"/>
  <c r="J48" i="4" s="1"/>
  <c r="K48" i="4" s="1"/>
  <c r="L48" i="4" s="1"/>
  <c r="M48" i="4" s="1"/>
  <c r="A49" i="4"/>
  <c r="C49" i="4"/>
  <c r="D49" i="4" s="1"/>
  <c r="E49" i="4" s="1"/>
  <c r="F49" i="4" s="1"/>
  <c r="G49" i="4" s="1"/>
  <c r="H49" i="4" s="1"/>
  <c r="I49" i="4" s="1"/>
  <c r="J49" i="4" s="1"/>
  <c r="K49" i="4" s="1"/>
  <c r="L49" i="4" s="1"/>
  <c r="M49" i="4" s="1"/>
  <c r="A50" i="4"/>
  <c r="C50" i="4"/>
  <c r="D50" i="4" s="1"/>
  <c r="E50" i="4" s="1"/>
  <c r="F50" i="4" s="1"/>
  <c r="G50" i="4" s="1"/>
  <c r="H50" i="4" s="1"/>
  <c r="I50" i="4" s="1"/>
  <c r="J50" i="4" s="1"/>
  <c r="K50" i="4" s="1"/>
  <c r="L50" i="4" s="1"/>
  <c r="M50" i="4" s="1"/>
  <c r="A51" i="4"/>
  <c r="C51" i="4"/>
  <c r="D51" i="4" s="1"/>
  <c r="E51" i="4" s="1"/>
  <c r="F51" i="4" s="1"/>
  <c r="G51" i="4" s="1"/>
  <c r="H51" i="4" s="1"/>
  <c r="I51" i="4" s="1"/>
  <c r="J51" i="4" s="1"/>
  <c r="K51" i="4" s="1"/>
  <c r="L51" i="4" s="1"/>
  <c r="M51" i="4" s="1"/>
  <c r="C52" i="4"/>
  <c r="D52" i="4" s="1"/>
  <c r="E52" i="4" s="1"/>
  <c r="F52" i="4" s="1"/>
  <c r="G52" i="4" s="1"/>
  <c r="H52" i="4" s="1"/>
  <c r="I52" i="4" s="1"/>
  <c r="J52" i="4" s="1"/>
  <c r="K52" i="4" s="1"/>
  <c r="L52" i="4" s="1"/>
  <c r="M52" i="4" s="1"/>
  <c r="A53" i="4"/>
  <c r="C53" i="4"/>
  <c r="D53" i="4" s="1"/>
  <c r="E53" i="4" s="1"/>
  <c r="F53" i="4" s="1"/>
  <c r="G53" i="4" s="1"/>
  <c r="H53" i="4" s="1"/>
  <c r="I53" i="4" s="1"/>
  <c r="J53" i="4" s="1"/>
  <c r="K53" i="4" s="1"/>
  <c r="L53" i="4" s="1"/>
  <c r="M53" i="4" s="1"/>
  <c r="A54" i="4"/>
  <c r="C54" i="4"/>
  <c r="D54" i="4" s="1"/>
  <c r="E54" i="4" s="1"/>
  <c r="F54" i="4" s="1"/>
  <c r="G54" i="4" s="1"/>
  <c r="H54" i="4" s="1"/>
  <c r="I54" i="4" s="1"/>
  <c r="J54" i="4" s="1"/>
  <c r="K54" i="4" s="1"/>
  <c r="L54" i="4" s="1"/>
  <c r="M54" i="4" s="1"/>
  <c r="A55" i="4"/>
  <c r="C55" i="4"/>
  <c r="D55" i="4"/>
  <c r="E55" i="4" s="1"/>
  <c r="F55" i="4" s="1"/>
  <c r="G55" i="4" s="1"/>
  <c r="H55" i="4" s="1"/>
  <c r="I55" i="4" s="1"/>
  <c r="J55" i="4" s="1"/>
  <c r="K55" i="4" s="1"/>
  <c r="L55" i="4" s="1"/>
  <c r="M55" i="4" s="1"/>
  <c r="A56" i="4"/>
  <c r="C56" i="4"/>
  <c r="D56" i="4" s="1"/>
  <c r="E56" i="4" s="1"/>
  <c r="F56" i="4" s="1"/>
  <c r="G56" i="4" s="1"/>
  <c r="H56" i="4" s="1"/>
  <c r="I56" i="4" s="1"/>
  <c r="J56" i="4" s="1"/>
  <c r="K56" i="4" s="1"/>
  <c r="L56" i="4" s="1"/>
  <c r="M56" i="4" s="1"/>
  <c r="C57" i="4"/>
  <c r="D57" i="4" s="1"/>
  <c r="E57" i="4" s="1"/>
  <c r="F57" i="4" s="1"/>
  <c r="G57" i="4" s="1"/>
  <c r="H57" i="4" s="1"/>
  <c r="I57" i="4" s="1"/>
  <c r="J57" i="4" s="1"/>
  <c r="K57" i="4" s="1"/>
  <c r="L57" i="4" s="1"/>
  <c r="M57" i="4" s="1"/>
  <c r="A58" i="4"/>
  <c r="A59" i="4"/>
  <c r="C59" i="4"/>
  <c r="D59" i="4" s="1"/>
  <c r="E59" i="4" s="1"/>
  <c r="F59" i="4" s="1"/>
  <c r="G59" i="4" s="1"/>
  <c r="H59" i="4" s="1"/>
  <c r="I59" i="4" s="1"/>
  <c r="J59" i="4" s="1"/>
  <c r="K59" i="4" s="1"/>
  <c r="L59" i="4" s="1"/>
  <c r="M59" i="4" s="1"/>
  <c r="A60" i="4"/>
  <c r="A61" i="4"/>
  <c r="C61" i="4"/>
  <c r="D61" i="4" s="1"/>
  <c r="E61" i="4" s="1"/>
  <c r="F61" i="4" s="1"/>
  <c r="G61" i="4" s="1"/>
  <c r="H61" i="4" s="1"/>
  <c r="I61" i="4" s="1"/>
  <c r="J61" i="4" s="1"/>
  <c r="K61" i="4" s="1"/>
  <c r="L61" i="4" s="1"/>
  <c r="M61" i="4" s="1"/>
  <c r="A62" i="4"/>
  <c r="A63" i="4"/>
  <c r="A64" i="4"/>
  <c r="A65" i="4"/>
  <c r="A78" i="4"/>
  <c r="A79" i="4"/>
  <c r="C79" i="4"/>
  <c r="D79" i="4" s="1"/>
  <c r="E79" i="4" s="1"/>
  <c r="F79" i="4" s="1"/>
  <c r="G79" i="4" s="1"/>
  <c r="H79" i="4" s="1"/>
  <c r="I79" i="4" s="1"/>
  <c r="J79" i="4" s="1"/>
  <c r="K79" i="4" s="1"/>
  <c r="L79" i="4" s="1"/>
  <c r="M79" i="4" s="1"/>
  <c r="A80" i="4"/>
  <c r="C80" i="4"/>
  <c r="D80" i="4" s="1"/>
  <c r="E80" i="4" s="1"/>
  <c r="F80" i="4" s="1"/>
  <c r="G80" i="4" s="1"/>
  <c r="H80" i="4" s="1"/>
  <c r="I80" i="4" s="1"/>
  <c r="J80" i="4" s="1"/>
  <c r="K80" i="4" s="1"/>
  <c r="L80" i="4" s="1"/>
  <c r="M80" i="4" s="1"/>
  <c r="A81" i="4"/>
  <c r="A82" i="4"/>
  <c r="A83" i="4"/>
  <c r="A84" i="4"/>
  <c r="C84" i="4"/>
  <c r="D84" i="4" s="1"/>
  <c r="E84" i="4" s="1"/>
  <c r="F84" i="4" s="1"/>
  <c r="G84" i="4" s="1"/>
  <c r="H84" i="4" s="1"/>
  <c r="I84" i="4" s="1"/>
  <c r="J84" i="4" s="1"/>
  <c r="K84" i="4" s="1"/>
  <c r="L84" i="4" s="1"/>
  <c r="M84" i="4" s="1"/>
  <c r="A85" i="4"/>
  <c r="C85" i="4"/>
  <c r="D85" i="4" s="1"/>
  <c r="E85" i="4" s="1"/>
  <c r="F85" i="4" s="1"/>
  <c r="G85" i="4" s="1"/>
  <c r="H85" i="4" s="1"/>
  <c r="I85" i="4" s="1"/>
  <c r="J85" i="4" s="1"/>
  <c r="K85" i="4" s="1"/>
  <c r="L85" i="4" s="1"/>
  <c r="M85" i="4" s="1"/>
  <c r="A86" i="4"/>
  <c r="C86" i="4"/>
  <c r="D86" i="4" s="1"/>
  <c r="E86" i="4" s="1"/>
  <c r="F86" i="4" s="1"/>
  <c r="G86" i="4" s="1"/>
  <c r="H86" i="4" s="1"/>
  <c r="I86" i="4" s="1"/>
  <c r="J86" i="4" s="1"/>
  <c r="K86" i="4" s="1"/>
  <c r="L86" i="4" s="1"/>
  <c r="M86" i="4" s="1"/>
  <c r="A87" i="4"/>
  <c r="C87" i="4"/>
  <c r="D87" i="4" s="1"/>
  <c r="E87" i="4" s="1"/>
  <c r="F87" i="4" s="1"/>
  <c r="G87" i="4" s="1"/>
  <c r="H87" i="4" s="1"/>
  <c r="I87" i="4" s="1"/>
  <c r="J87" i="4" s="1"/>
  <c r="K87" i="4" s="1"/>
  <c r="L87" i="4" s="1"/>
  <c r="M87" i="4" s="1"/>
  <c r="B88" i="4"/>
  <c r="C88" i="4" s="1"/>
  <c r="D88" i="4" s="1"/>
  <c r="E88" i="4" s="1"/>
  <c r="F88" i="4" s="1"/>
  <c r="G88" i="4" s="1"/>
  <c r="H88" i="4" s="1"/>
  <c r="I88" i="4" s="1"/>
  <c r="J88" i="4" s="1"/>
  <c r="K88" i="4" s="1"/>
  <c r="L88" i="4" s="1"/>
  <c r="M88" i="4" s="1"/>
  <c r="A89" i="4"/>
  <c r="C89" i="4"/>
  <c r="D89" i="4" s="1"/>
  <c r="E89" i="4" s="1"/>
  <c r="F89" i="4" s="1"/>
  <c r="G89" i="4" s="1"/>
  <c r="H89" i="4" s="1"/>
  <c r="I89" i="4" s="1"/>
  <c r="J89" i="4" s="1"/>
  <c r="K89" i="4" s="1"/>
  <c r="L89" i="4" s="1"/>
  <c r="M89" i="4" s="1"/>
  <c r="A90" i="4"/>
  <c r="C90" i="4"/>
  <c r="D90" i="4" s="1"/>
  <c r="E90" i="4" s="1"/>
  <c r="F90" i="4" s="1"/>
  <c r="G90" i="4" s="1"/>
  <c r="H90" i="4" s="1"/>
  <c r="I90" i="4" s="1"/>
  <c r="J90" i="4" s="1"/>
  <c r="K90" i="4" s="1"/>
  <c r="L90" i="4" s="1"/>
  <c r="M90" i="4" s="1"/>
  <c r="A91" i="4"/>
  <c r="C91" i="4"/>
  <c r="D91" i="4" s="1"/>
  <c r="E91" i="4" s="1"/>
  <c r="F91" i="4" s="1"/>
  <c r="G91" i="4" s="1"/>
  <c r="H91" i="4" s="1"/>
  <c r="I91" i="4" s="1"/>
  <c r="J91" i="4" s="1"/>
  <c r="K91" i="4" s="1"/>
  <c r="L91" i="4" s="1"/>
  <c r="M91" i="4" s="1"/>
  <c r="A92" i="4"/>
  <c r="B92" i="4"/>
  <c r="C92" i="4" s="1"/>
  <c r="D92" i="4" s="1"/>
  <c r="E92" i="4" s="1"/>
  <c r="F92" i="4" s="1"/>
  <c r="G92" i="4" s="1"/>
  <c r="H92" i="4" s="1"/>
  <c r="I92" i="4" s="1"/>
  <c r="J92" i="4" s="1"/>
  <c r="K92" i="4" s="1"/>
  <c r="L92" i="4" s="1"/>
  <c r="M92" i="4" s="1"/>
  <c r="A93" i="4"/>
  <c r="A94" i="4"/>
  <c r="A95" i="4"/>
  <c r="A96" i="4"/>
  <c r="A97" i="4"/>
  <c r="A98" i="4"/>
  <c r="A99" i="4"/>
  <c r="C99" i="4"/>
  <c r="D99" i="4" s="1"/>
  <c r="E99" i="4" s="1"/>
  <c r="F99" i="4" s="1"/>
  <c r="G99" i="4" s="1"/>
  <c r="H99" i="4" s="1"/>
  <c r="I99" i="4" s="1"/>
  <c r="J99" i="4" s="1"/>
  <c r="K99" i="4" s="1"/>
  <c r="L99" i="4" s="1"/>
  <c r="M99" i="4" s="1"/>
  <c r="A100" i="4"/>
  <c r="C100" i="4"/>
  <c r="D100" i="4" s="1"/>
  <c r="E100" i="4" s="1"/>
  <c r="F100" i="4" s="1"/>
  <c r="G100" i="4" s="1"/>
  <c r="H100" i="4" s="1"/>
  <c r="I100" i="4" s="1"/>
  <c r="J100" i="4" s="1"/>
  <c r="K100" i="4" s="1"/>
  <c r="L100" i="4" s="1"/>
  <c r="M100" i="4" s="1"/>
  <c r="A101" i="4"/>
  <c r="C101" i="4"/>
  <c r="D101" i="4" s="1"/>
  <c r="E101" i="4" s="1"/>
  <c r="F101" i="4" s="1"/>
  <c r="G101" i="4" s="1"/>
  <c r="H101" i="4" s="1"/>
  <c r="I101" i="4" s="1"/>
  <c r="J101" i="4" s="1"/>
  <c r="K101" i="4" s="1"/>
  <c r="L101" i="4" s="1"/>
  <c r="M101" i="4" s="1"/>
  <c r="A102" i="4"/>
  <c r="A113" i="4"/>
  <c r="A114" i="4"/>
  <c r="C114" i="4"/>
  <c r="D114" i="4" s="1"/>
  <c r="E114" i="4" s="1"/>
  <c r="F114" i="4" s="1"/>
  <c r="G114" i="4" s="1"/>
  <c r="H114" i="4" s="1"/>
  <c r="I114" i="4" s="1"/>
  <c r="J114" i="4" s="1"/>
  <c r="K114" i="4" s="1"/>
  <c r="L114" i="4" s="1"/>
  <c r="M114" i="4" s="1"/>
  <c r="A115" i="4"/>
  <c r="C115" i="4"/>
  <c r="D115" i="4" s="1"/>
  <c r="E115" i="4" s="1"/>
  <c r="F115" i="4" s="1"/>
  <c r="G115" i="4" s="1"/>
  <c r="H115" i="4" s="1"/>
  <c r="I115" i="4" s="1"/>
  <c r="J115" i="4" s="1"/>
  <c r="K115" i="4" s="1"/>
  <c r="L115" i="4" s="1"/>
  <c r="M115" i="4" s="1"/>
  <c r="A116" i="4"/>
  <c r="C116" i="4"/>
  <c r="D116" i="4" s="1"/>
  <c r="E116" i="4" s="1"/>
  <c r="F116" i="4" s="1"/>
  <c r="G116" i="4" s="1"/>
  <c r="H116" i="4" s="1"/>
  <c r="I116" i="4" s="1"/>
  <c r="J116" i="4" s="1"/>
  <c r="K116" i="4" s="1"/>
  <c r="L116" i="4" s="1"/>
  <c r="M116" i="4" s="1"/>
  <c r="A117" i="4"/>
  <c r="C117" i="4"/>
  <c r="D117" i="4" s="1"/>
  <c r="E117" i="4" s="1"/>
  <c r="F117" i="4" s="1"/>
  <c r="G117" i="4" s="1"/>
  <c r="H117" i="4" s="1"/>
  <c r="I117" i="4" s="1"/>
  <c r="J117" i="4" s="1"/>
  <c r="K117" i="4" s="1"/>
  <c r="L117" i="4" s="1"/>
  <c r="M117" i="4" s="1"/>
  <c r="A118" i="4"/>
  <c r="A119" i="4"/>
  <c r="C119" i="4"/>
  <c r="D119" i="4" s="1"/>
  <c r="E119" i="4" s="1"/>
  <c r="F119" i="4" s="1"/>
  <c r="G119" i="4" s="1"/>
  <c r="H119" i="4" s="1"/>
  <c r="I119" i="4" s="1"/>
  <c r="J119" i="4" s="1"/>
  <c r="K119" i="4" s="1"/>
  <c r="L119" i="4" s="1"/>
  <c r="M119" i="4" s="1"/>
  <c r="A120" i="4"/>
  <c r="C120" i="4"/>
  <c r="D120" i="4" s="1"/>
  <c r="E120" i="4" s="1"/>
  <c r="F120" i="4" s="1"/>
  <c r="G120" i="4" s="1"/>
  <c r="H120" i="4" s="1"/>
  <c r="I120" i="4" s="1"/>
  <c r="J120" i="4" s="1"/>
  <c r="K120" i="4" s="1"/>
  <c r="L120" i="4" s="1"/>
  <c r="M120" i="4" s="1"/>
  <c r="A121" i="4"/>
  <c r="C121" i="4"/>
  <c r="D121" i="4" s="1"/>
  <c r="E121" i="4" s="1"/>
  <c r="F121" i="4" s="1"/>
  <c r="G121" i="4" s="1"/>
  <c r="H121" i="4" s="1"/>
  <c r="I121" i="4" s="1"/>
  <c r="J121" i="4" s="1"/>
  <c r="K121" i="4" s="1"/>
  <c r="L121" i="4" s="1"/>
  <c r="M121" i="4" s="1"/>
  <c r="A122" i="4"/>
  <c r="C122" i="4"/>
  <c r="D122" i="4" s="1"/>
  <c r="E122" i="4" s="1"/>
  <c r="F122" i="4" s="1"/>
  <c r="G122" i="4" s="1"/>
  <c r="H122" i="4" s="1"/>
  <c r="I122" i="4" s="1"/>
  <c r="J122" i="4" s="1"/>
  <c r="K122" i="4" s="1"/>
  <c r="L122" i="4" s="1"/>
  <c r="M122" i="4" s="1"/>
  <c r="B123" i="4"/>
  <c r="C123" i="4" s="1"/>
  <c r="D123" i="4" s="1"/>
  <c r="E123" i="4" s="1"/>
  <c r="F123" i="4" s="1"/>
  <c r="G123" i="4" s="1"/>
  <c r="H123" i="4" s="1"/>
  <c r="I123" i="4" s="1"/>
  <c r="J123" i="4" s="1"/>
  <c r="K123" i="4" s="1"/>
  <c r="L123" i="4" s="1"/>
  <c r="M123" i="4" s="1"/>
  <c r="A124" i="4"/>
  <c r="C124" i="4"/>
  <c r="D124" i="4" s="1"/>
  <c r="E124" i="4" s="1"/>
  <c r="F124" i="4" s="1"/>
  <c r="G124" i="4" s="1"/>
  <c r="H124" i="4" s="1"/>
  <c r="I124" i="4" s="1"/>
  <c r="J124" i="4" s="1"/>
  <c r="K124" i="4" s="1"/>
  <c r="L124" i="4" s="1"/>
  <c r="M124" i="4" s="1"/>
  <c r="A125" i="4"/>
  <c r="C125" i="4"/>
  <c r="D125" i="4" s="1"/>
  <c r="E125" i="4" s="1"/>
  <c r="F125" i="4" s="1"/>
  <c r="G125" i="4" s="1"/>
  <c r="H125" i="4" s="1"/>
  <c r="I125" i="4" s="1"/>
  <c r="J125" i="4" s="1"/>
  <c r="K125" i="4" s="1"/>
  <c r="L125" i="4" s="1"/>
  <c r="M125" i="4" s="1"/>
  <c r="A126" i="4"/>
  <c r="C126" i="4"/>
  <c r="D126" i="4" s="1"/>
  <c r="E126" i="4" s="1"/>
  <c r="F126" i="4" s="1"/>
  <c r="G126" i="4" s="1"/>
  <c r="H126" i="4" s="1"/>
  <c r="I126" i="4" s="1"/>
  <c r="J126" i="4" s="1"/>
  <c r="K126" i="4" s="1"/>
  <c r="L126" i="4" s="1"/>
  <c r="M126" i="4" s="1"/>
  <c r="A127" i="4"/>
  <c r="B127" i="4"/>
  <c r="C127" i="4" s="1"/>
  <c r="D127" i="4" s="1"/>
  <c r="E127" i="4" s="1"/>
  <c r="F127" i="4" s="1"/>
  <c r="G127" i="4" s="1"/>
  <c r="H127" i="4" s="1"/>
  <c r="I127" i="4" s="1"/>
  <c r="J127" i="4" s="1"/>
  <c r="K127" i="4" s="1"/>
  <c r="L127" i="4" s="1"/>
  <c r="M127" i="4" s="1"/>
  <c r="A128" i="4"/>
  <c r="A129" i="4"/>
  <c r="C129" i="4"/>
  <c r="D129" i="4" s="1"/>
  <c r="E129" i="4" s="1"/>
  <c r="F129" i="4" s="1"/>
  <c r="G129" i="4" s="1"/>
  <c r="H129" i="4" s="1"/>
  <c r="I129" i="4" s="1"/>
  <c r="J129" i="4" s="1"/>
  <c r="K129" i="4" s="1"/>
  <c r="L129" i="4" s="1"/>
  <c r="M129" i="4" s="1"/>
  <c r="A130" i="4"/>
  <c r="A131" i="4"/>
  <c r="C131" i="4"/>
  <c r="D131" i="4" s="1"/>
  <c r="E131" i="4" s="1"/>
  <c r="F131" i="4" s="1"/>
  <c r="G131" i="4" s="1"/>
  <c r="H131" i="4" s="1"/>
  <c r="I131" i="4" s="1"/>
  <c r="J131" i="4" s="1"/>
  <c r="K131" i="4" s="1"/>
  <c r="L131" i="4" s="1"/>
  <c r="M131" i="4" s="1"/>
  <c r="A132" i="4"/>
  <c r="C132" i="4"/>
  <c r="D132" i="4" s="1"/>
  <c r="E132" i="4" s="1"/>
  <c r="F132" i="4" s="1"/>
  <c r="G132" i="4" s="1"/>
  <c r="H132" i="4" s="1"/>
  <c r="I132" i="4" s="1"/>
  <c r="J132" i="4" s="1"/>
  <c r="K132" i="4" s="1"/>
  <c r="L132" i="4" s="1"/>
  <c r="M132" i="4" s="1"/>
  <c r="A133" i="4"/>
  <c r="C133" i="4"/>
  <c r="D133" i="4" s="1"/>
  <c r="E133" i="4" s="1"/>
  <c r="F133" i="4" s="1"/>
  <c r="G133" i="4" s="1"/>
  <c r="H133" i="4" s="1"/>
  <c r="I133" i="4" s="1"/>
  <c r="J133" i="4" s="1"/>
  <c r="K133" i="4" s="1"/>
  <c r="L133" i="4" s="1"/>
  <c r="M133" i="4" s="1"/>
  <c r="A134" i="4"/>
  <c r="A135" i="4"/>
  <c r="A136" i="4"/>
  <c r="A137" i="4"/>
  <c r="D17" i="4" l="1"/>
  <c r="C19" i="4"/>
  <c r="A123" i="4"/>
  <c r="A88" i="4"/>
  <c r="B67" i="4"/>
  <c r="B39" i="4"/>
  <c r="U50" i="1" s="1"/>
  <c r="C39" i="4"/>
  <c r="C75" i="4" s="1"/>
  <c r="C110" i="4" s="1"/>
  <c r="G43" i="4"/>
  <c r="F67" i="4"/>
  <c r="C34" i="4"/>
  <c r="D67" i="4"/>
  <c r="B34" i="4"/>
  <c r="E6" i="4"/>
  <c r="E67" i="4"/>
  <c r="E11" i="4"/>
  <c r="C67" i="4"/>
  <c r="E17" i="4" l="1"/>
  <c r="D19" i="4"/>
  <c r="D34" i="4" s="1"/>
  <c r="B75" i="4"/>
  <c r="B110" i="4" s="1"/>
  <c r="F6" i="4"/>
  <c r="E39" i="4"/>
  <c r="F11" i="4"/>
  <c r="H43" i="4"/>
  <c r="G67" i="4"/>
  <c r="F17" i="4" l="1"/>
  <c r="E19" i="4"/>
  <c r="E34" i="4" s="1"/>
  <c r="E75" i="4"/>
  <c r="E110" i="4" s="1"/>
  <c r="G11" i="4"/>
  <c r="I43" i="4"/>
  <c r="H67" i="4"/>
  <c r="G6" i="4"/>
  <c r="F39" i="4"/>
  <c r="F75" i="4" s="1"/>
  <c r="F110" i="4" s="1"/>
  <c r="G17" i="4" l="1"/>
  <c r="F19" i="4"/>
  <c r="F34" i="4" s="1"/>
  <c r="I67" i="4"/>
  <c r="J43" i="4"/>
  <c r="G39" i="4"/>
  <c r="H6" i="4"/>
  <c r="H11" i="4"/>
  <c r="H17" i="4" l="1"/>
  <c r="G19" i="4"/>
  <c r="G34" i="4" s="1"/>
  <c r="G75" i="4"/>
  <c r="G110" i="4" s="1"/>
  <c r="K43" i="4"/>
  <c r="J67" i="4"/>
  <c r="H39" i="4"/>
  <c r="H75" i="4" s="1"/>
  <c r="H110" i="4" s="1"/>
  <c r="I6" i="4"/>
  <c r="I11" i="4"/>
  <c r="I17" i="4" l="1"/>
  <c r="H19" i="4"/>
  <c r="H34" i="4" s="1"/>
  <c r="J11" i="4"/>
  <c r="J6" i="4"/>
  <c r="I39" i="4"/>
  <c r="L43" i="4"/>
  <c r="K67" i="4"/>
  <c r="J17" i="4" l="1"/>
  <c r="I19" i="4"/>
  <c r="I34" i="4" s="1"/>
  <c r="I75" i="4"/>
  <c r="I110" i="4" s="1"/>
  <c r="K11" i="4"/>
  <c r="K6" i="4"/>
  <c r="J39" i="4"/>
  <c r="J75" i="4" s="1"/>
  <c r="J110" i="4" s="1"/>
  <c r="L67" i="4"/>
  <c r="M43" i="4"/>
  <c r="M67" i="4" s="1"/>
  <c r="K17" i="4" l="1"/>
  <c r="J19" i="4"/>
  <c r="J34" i="4" s="1"/>
  <c r="L6" i="4"/>
  <c r="K39" i="4"/>
  <c r="K75" i="4" s="1"/>
  <c r="K110" i="4" s="1"/>
  <c r="L11" i="4"/>
  <c r="L17" i="4" l="1"/>
  <c r="K19" i="4"/>
  <c r="K34" i="4" s="1"/>
  <c r="M11" i="4"/>
  <c r="L39" i="4"/>
  <c r="L75" i="4" s="1"/>
  <c r="L110" i="4" s="1"/>
  <c r="M6" i="4"/>
  <c r="M17" i="4" l="1"/>
  <c r="M19" i="4" s="1"/>
  <c r="L19" i="4"/>
  <c r="L34" i="4" s="1"/>
  <c r="M39" i="4"/>
  <c r="K45" i="1"/>
  <c r="AB5" i="1"/>
  <c r="X5" i="1"/>
  <c r="M34" i="4" l="1"/>
  <c r="A7" i="3"/>
  <c r="M75" i="4"/>
  <c r="M110" i="4" s="1"/>
  <c r="U54" i="1"/>
  <c r="U42" i="1"/>
  <c r="AC9" i="3"/>
  <c r="AC10" i="3"/>
  <c r="K16" i="3" l="1"/>
  <c r="BJ3" i="1"/>
  <c r="P19" i="1"/>
  <c r="A20" i="1"/>
  <c r="AB20" i="1"/>
  <c r="B13" i="2" s="1"/>
  <c r="D9" i="2" s="1"/>
  <c r="AC20" i="1"/>
  <c r="AN20" i="1"/>
  <c r="AB21" i="1"/>
  <c r="B14" i="2" s="1"/>
  <c r="AC21" i="1"/>
  <c r="AN21" i="1"/>
  <c r="AB22" i="1"/>
  <c r="B15" i="2" s="1"/>
  <c r="AC22" i="1"/>
  <c r="AN22" i="1"/>
  <c r="P23" i="1"/>
  <c r="AB23" i="1"/>
  <c r="B16" i="2" s="1"/>
  <c r="AC23" i="1"/>
  <c r="AN23" i="1"/>
  <c r="AB24" i="1"/>
  <c r="B17" i="2" s="1"/>
  <c r="AC24" i="1"/>
  <c r="AN24" i="1"/>
  <c r="AB25" i="1"/>
  <c r="B18" i="2" s="1"/>
  <c r="AC25" i="1"/>
  <c r="AN25" i="1"/>
  <c r="AB26" i="1"/>
  <c r="B19" i="2" s="1"/>
  <c r="AC26" i="1"/>
  <c r="AN26" i="1"/>
  <c r="H33" i="3"/>
  <c r="AB27" i="1"/>
  <c r="B20" i="2" s="1"/>
  <c r="AC27" i="1"/>
  <c r="AN27" i="1"/>
  <c r="AB28" i="1"/>
  <c r="B21" i="2" s="1"/>
  <c r="AC28" i="1"/>
  <c r="AN28" i="1"/>
  <c r="H26" i="3"/>
  <c r="M28" i="3" s="1"/>
  <c r="AB29" i="1"/>
  <c r="B22" i="2" s="1"/>
  <c r="AC29" i="1"/>
  <c r="AN29" i="1"/>
  <c r="AB30" i="1"/>
  <c r="B23" i="2" s="1"/>
  <c r="AC30" i="1"/>
  <c r="AN30" i="1"/>
  <c r="AB31" i="1"/>
  <c r="B24" i="2" s="1"/>
  <c r="AC31" i="1"/>
  <c r="AN31" i="1"/>
  <c r="AB32" i="1"/>
  <c r="B25" i="2" s="1"/>
  <c r="AC32" i="1"/>
  <c r="AN32" i="1"/>
  <c r="AB33" i="1"/>
  <c r="B26" i="2" s="1"/>
  <c r="AC33" i="1"/>
  <c r="AN33" i="1"/>
  <c r="AB34" i="1"/>
  <c r="B27" i="2" s="1"/>
  <c r="AC34" i="1"/>
  <c r="AN34" i="1"/>
  <c r="AB35" i="1"/>
  <c r="B28" i="2" s="1"/>
  <c r="AC35" i="1"/>
  <c r="AN35" i="1"/>
  <c r="AB36" i="1"/>
  <c r="B29" i="2" s="1"/>
  <c r="AC36" i="1"/>
  <c r="AN36" i="1"/>
  <c r="B30" i="2"/>
  <c r="B31" i="2"/>
  <c r="B32" i="2"/>
  <c r="AB40" i="1"/>
  <c r="B33" i="2" s="1"/>
  <c r="AC40" i="1"/>
  <c r="AN40" i="1"/>
  <c r="AB41" i="1"/>
  <c r="B34" i="2" s="1"/>
  <c r="AC41" i="1"/>
  <c r="AN41" i="1"/>
  <c r="AB42" i="1"/>
  <c r="B35" i="2" s="1"/>
  <c r="AC42" i="1"/>
  <c r="AN42" i="1"/>
  <c r="AB43" i="1"/>
  <c r="B36" i="2" s="1"/>
  <c r="AC43" i="1"/>
  <c r="AN43" i="1"/>
  <c r="AB44" i="1"/>
  <c r="B37" i="2" s="1"/>
  <c r="AC44" i="1"/>
  <c r="AN44" i="1"/>
  <c r="AB45" i="1"/>
  <c r="B38" i="2" s="1"/>
  <c r="AC45" i="1"/>
  <c r="AN45" i="1"/>
  <c r="AB46" i="1"/>
  <c r="B39" i="2" s="1"/>
  <c r="AC46" i="1"/>
  <c r="AN46" i="1"/>
  <c r="AB47" i="1"/>
  <c r="B40" i="2" s="1"/>
  <c r="AC47" i="1"/>
  <c r="AN47" i="1"/>
  <c r="AB48" i="1"/>
  <c r="B41" i="2" s="1"/>
  <c r="AC48" i="1"/>
  <c r="AN48" i="1"/>
  <c r="AB49" i="1"/>
  <c r="B42" i="2" s="1"/>
  <c r="AC49" i="1"/>
  <c r="AN49" i="1"/>
  <c r="AB50" i="1"/>
  <c r="B43" i="2" s="1"/>
  <c r="AC50" i="1"/>
  <c r="AN50" i="1"/>
  <c r="AD51" i="1"/>
  <c r="L19" i="1" s="1"/>
  <c r="AG51" i="1"/>
  <c r="L22" i="1" s="1"/>
  <c r="AJ51" i="1"/>
  <c r="L23" i="1" s="1"/>
  <c r="N62" i="1"/>
  <c r="N63" i="1"/>
  <c r="N64" i="1"/>
  <c r="N65" i="1"/>
  <c r="N66" i="1"/>
  <c r="N68" i="1"/>
  <c r="V80" i="1"/>
  <c r="V81" i="1"/>
  <c r="AH82" i="1"/>
  <c r="AL82" i="1"/>
  <c r="F83" i="1"/>
  <c r="A3" i="3"/>
  <c r="B33" i="3"/>
  <c r="AL85" i="1" l="1"/>
  <c r="AL88" i="1" s="1"/>
  <c r="AH85" i="1"/>
  <c r="AH88" i="1" s="1"/>
  <c r="L35" i="3"/>
  <c r="B16" i="3"/>
  <c r="E73" i="1"/>
  <c r="N69" i="1"/>
  <c r="AL68" i="1"/>
  <c r="L20" i="1"/>
  <c r="T23" i="1"/>
  <c r="AL67" i="1"/>
  <c r="AL66" i="1"/>
  <c r="T19" i="1"/>
  <c r="P22" i="1"/>
  <c r="T22" i="1" s="1"/>
  <c r="BJ4" i="1"/>
  <c r="B31" i="3"/>
  <c r="B29" i="3"/>
  <c r="B25" i="3"/>
  <c r="B9" i="3"/>
  <c r="B5" i="3"/>
  <c r="P20" i="1" l="1"/>
  <c r="T20" i="1" s="1"/>
  <c r="P21" i="1"/>
  <c r="T21" i="1" s="1"/>
  <c r="BJ5" i="1"/>
  <c r="J6" i="2"/>
  <c r="E7" i="2"/>
  <c r="H11" i="2" s="1"/>
  <c r="E6" i="2"/>
  <c r="G18" i="2"/>
  <c r="G16" i="2"/>
  <c r="C45" i="2"/>
  <c r="D45" i="2"/>
  <c r="H20" i="2" s="1"/>
  <c r="I39" i="2" l="1"/>
  <c r="H23" i="2"/>
  <c r="I44" i="2"/>
  <c r="I35" i="2"/>
  <c r="I32" i="2"/>
  <c r="I43" i="2" s="1"/>
  <c r="L25" i="1" s="1"/>
  <c r="H39" i="2"/>
  <c r="I12" i="2"/>
  <c r="H44" i="2"/>
  <c r="H20" i="3"/>
  <c r="M22" i="3" s="1"/>
  <c r="BJ6" i="1"/>
  <c r="I11" i="2"/>
  <c r="H16" i="2" s="1"/>
  <c r="H35" i="2"/>
  <c r="G23" i="2"/>
  <c r="H32" i="2"/>
  <c r="G29" i="2" l="1"/>
  <c r="B14" i="3"/>
  <c r="F30" i="3"/>
  <c r="H26" i="2"/>
  <c r="T24" i="1" s="1"/>
  <c r="G26" i="2"/>
  <c r="BJ7" i="1"/>
  <c r="B37" i="3"/>
  <c r="B39" i="3"/>
  <c r="B35" i="3"/>
  <c r="H29" i="2"/>
  <c r="T25" i="1" s="1"/>
  <c r="A23" i="3" s="1"/>
  <c r="H43" i="2"/>
  <c r="I38" i="2"/>
  <c r="L24" i="1" s="1"/>
  <c r="H38" i="2"/>
  <c r="B20" i="3"/>
  <c r="A12" i="3" l="1"/>
  <c r="B22" i="3"/>
  <c r="B18" i="3" s="1"/>
  <c r="B11" i="3"/>
  <c r="P24" i="1"/>
  <c r="BJ8" i="1"/>
  <c r="P25" i="1"/>
  <c r="E75" i="1"/>
  <c r="T33" i="1"/>
  <c r="H18" i="2"/>
  <c r="H21" i="2" s="1"/>
  <c r="H46" i="1" l="1"/>
  <c r="N46" i="1" s="1"/>
  <c r="R46" i="1"/>
  <c r="X46" i="1" s="1"/>
  <c r="H38" i="1"/>
  <c r="N38" i="1" s="1"/>
  <c r="B45" i="3"/>
  <c r="R50" i="1"/>
  <c r="X50" i="1" s="1"/>
  <c r="R54" i="1"/>
  <c r="X54" i="1" s="1"/>
  <c r="R42" i="1"/>
  <c r="X42" i="1" s="1"/>
  <c r="H45" i="1"/>
  <c r="N45" i="1" s="1"/>
  <c r="BJ9" i="1"/>
  <c r="B41" i="3"/>
  <c r="BJ10" i="1" l="1"/>
  <c r="BJ11" i="1" l="1"/>
  <c r="BJ12" i="1" l="1"/>
  <c r="BJ13" i="1" l="1"/>
  <c r="B53" i="3" l="1"/>
  <c r="Z68" i="1"/>
  <c r="N58" i="1" l="1"/>
  <c r="E72" i="1" s="1"/>
  <c r="X58" i="1"/>
  <c r="N59" i="1" l="1"/>
  <c r="AL74" i="1" s="1"/>
  <c r="Q73" i="1"/>
  <c r="Q75" i="1" l="1"/>
  <c r="Q79" i="1" s="1"/>
  <c r="F78" i="1" s="1"/>
  <c r="Q71" i="1"/>
  <c r="B27" i="3"/>
  <c r="B51" i="3" s="1"/>
  <c r="B55" i="3" l="1"/>
  <c r="B57" i="3" s="1"/>
  <c r="E7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X3" authorId="0" shapeId="0" xr:uid="{00000000-0006-0000-0000-000001000000}">
      <text>
        <r>
          <rPr>
            <b/>
            <sz val="9"/>
            <color indexed="81"/>
            <rFont val="Tahoma"/>
            <family val="2"/>
          </rPr>
          <t xml:space="preserve">Sélectionner le mois dans la liste déroulante
</t>
        </r>
      </text>
    </comment>
    <comment ref="AG18" authorId="1" shapeId="0" xr:uid="{00000000-0006-0000-0000-000002000000}">
      <text>
        <r>
          <rPr>
            <b/>
            <sz val="8"/>
            <color indexed="81"/>
            <rFont val="Tahoma"/>
            <family val="2"/>
          </rPr>
          <t>Heures complémentaires non prévues au contrat</t>
        </r>
      </text>
    </comment>
    <comment ref="AJ18" authorId="1" shapeId="0" xr:uid="{00000000-0006-0000-0000-000003000000}">
      <text>
        <r>
          <rPr>
            <b/>
            <sz val="8"/>
            <color indexed="81"/>
            <rFont val="Tahoma"/>
            <family val="2"/>
          </rPr>
          <t>Heures supplémentaires prévues au contrat (si salaire au réel) + Heures supplémentaires non prévues au contrat</t>
        </r>
      </text>
    </comment>
    <comment ref="L24" authorId="0" shapeId="0" xr:uid="{AF6CFAAE-4491-4992-B3C0-537F2939129A}">
      <text>
        <r>
          <rPr>
            <b/>
            <sz val="9"/>
            <color indexed="81"/>
            <rFont val="Tahoma"/>
            <family val="2"/>
          </rPr>
          <t>Vous pouvez choisir sur le coté si vous voulez afficher pour la retenue les heures réelles retirées ou les heures mensualisées retirées</t>
        </r>
      </text>
    </comment>
    <comment ref="L25" authorId="0" shapeId="0" xr:uid="{FBB1C3EA-603F-4017-8A10-2B849280F5CA}">
      <text>
        <r>
          <rPr>
            <b/>
            <sz val="9"/>
            <color indexed="81"/>
            <rFont val="Tahoma"/>
            <family val="2"/>
          </rPr>
          <t>Vous pouvez choisir sur le coté si vous voulez afficher pour la retenue les heures réelles retirées ou les heures mensualisées retirées</t>
        </r>
      </text>
    </comment>
    <comment ref="B30" authorId="0" shapeId="0" xr:uid="{00000000-0006-0000-0000-000008000000}">
      <text>
        <r>
          <rPr>
            <b/>
            <sz val="9"/>
            <color indexed="81"/>
            <rFont val="Tahoma"/>
            <family val="2"/>
          </rPr>
          <t>On inclus pour le calcul la prime de précarité</t>
        </r>
      </text>
    </comment>
    <comment ref="H66" authorId="2" shapeId="0" xr:uid="{00000000-0006-0000-0000-000009000000}">
      <text>
        <r>
          <rPr>
            <b/>
            <sz val="9"/>
            <color indexed="8"/>
            <rFont val="Tahoma"/>
            <family val="2"/>
            <charset val="1"/>
          </rPr>
          <t xml:space="preserve">Nombre de kilomètres
</t>
        </r>
      </text>
    </comment>
    <comment ref="K66" authorId="2" shapeId="0" xr:uid="{00000000-0006-0000-0000-00000A000000}">
      <text>
        <r>
          <rPr>
            <b/>
            <sz val="9"/>
            <color indexed="8"/>
            <rFont val="Tahoma"/>
            <family val="2"/>
            <charset val="1"/>
          </rPr>
          <t>Tarif du Kilomètre négocié avec les parents</t>
        </r>
      </text>
    </comment>
    <comment ref="AH80" authorId="2" shapeId="0" xr:uid="{00000000-0006-0000-0000-00000B000000}">
      <text>
        <r>
          <rPr>
            <b/>
            <sz val="9"/>
            <color indexed="8"/>
            <rFont val="Tahoma"/>
            <family val="2"/>
            <charset val="1"/>
          </rPr>
          <t>Pour les années complètes reporter le nbre de mois travaillés en fin d'année de référence précédente (le 31 mai précédent)
Pour les années incomplètes reporter le nbre de semaines travaillées en fin d'année de référence précédente (le 31 mai précédent)</t>
        </r>
      </text>
    </comment>
    <comment ref="AL80" authorId="2" shapeId="0" xr:uid="{00000000-0006-0000-0000-00000C000000}">
      <text>
        <r>
          <rPr>
            <b/>
            <sz val="9"/>
            <color indexed="8"/>
            <rFont val="Tahoma"/>
            <family val="2"/>
            <charset val="1"/>
          </rPr>
          <t xml:space="preserve">Pour les années complètes reporter le nbre de mois travaillés pour l'année de référence en cours.
Pour les années incomplètes reporter le nbre de semaines travaillées pour l'année de référence en cours.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X3" authorId="0" shapeId="0" xr:uid="{D168510A-C5B9-481F-AE32-ACBE45CC8987}">
      <text>
        <r>
          <rPr>
            <b/>
            <sz val="9"/>
            <color indexed="81"/>
            <rFont val="Tahoma"/>
            <family val="2"/>
          </rPr>
          <t xml:space="preserve">Sélectionner le mois dans la liste déroulante
</t>
        </r>
      </text>
    </comment>
    <comment ref="AG18" authorId="1" shapeId="0" xr:uid="{A84C1276-AF61-4366-AE88-DDEA140D8E48}">
      <text>
        <r>
          <rPr>
            <b/>
            <sz val="8"/>
            <color indexed="81"/>
            <rFont val="Tahoma"/>
            <family val="2"/>
          </rPr>
          <t>Heures complémentaires non prévues au contrat</t>
        </r>
      </text>
    </comment>
    <comment ref="AJ18" authorId="1" shapeId="0" xr:uid="{44F56325-DEE5-4477-9FC9-DE3B24DBF373}">
      <text>
        <r>
          <rPr>
            <b/>
            <sz val="8"/>
            <color indexed="81"/>
            <rFont val="Tahoma"/>
            <family val="2"/>
          </rPr>
          <t>Heures supplémentaires prévues au contrat (si salaire au réel) + Heures supplémentaires non prévues au contrat</t>
        </r>
      </text>
    </comment>
    <comment ref="L24" authorId="0" shapeId="0" xr:uid="{DE46218E-FD12-4E53-9872-5AE61FBC604F}">
      <text>
        <r>
          <rPr>
            <b/>
            <sz val="9"/>
            <color indexed="81"/>
            <rFont val="Tahoma"/>
            <family val="2"/>
          </rPr>
          <t>Vous pouvez choisir sur le coté si vous voulez afficher pour la retenue les heures réelles retirées ou les heures mensualisées retirées</t>
        </r>
      </text>
    </comment>
    <comment ref="L25" authorId="0" shapeId="0" xr:uid="{D66D3D42-B0C7-4001-8006-A8F397338082}">
      <text>
        <r>
          <rPr>
            <b/>
            <sz val="9"/>
            <color indexed="81"/>
            <rFont val="Tahoma"/>
            <family val="2"/>
          </rPr>
          <t>Vous pouvez choisir sur le coté si vous voulez afficher pour la retenue les heures réelles retirées ou les heures mensualisées retirées</t>
        </r>
      </text>
    </comment>
    <comment ref="B30" authorId="0" shapeId="0" xr:uid="{DB2F393C-409C-4351-B68A-1C0EFA1F1A1E}">
      <text>
        <r>
          <rPr>
            <b/>
            <sz val="9"/>
            <color indexed="81"/>
            <rFont val="Tahoma"/>
            <family val="2"/>
          </rPr>
          <t>On inclus pour le calcul la prime de précarité</t>
        </r>
      </text>
    </comment>
    <comment ref="H66" authorId="2" shapeId="0" xr:uid="{149ECBB7-B705-42FB-9C5F-0A6410DDECA3}">
      <text>
        <r>
          <rPr>
            <b/>
            <sz val="9"/>
            <color indexed="8"/>
            <rFont val="Tahoma"/>
            <family val="2"/>
            <charset val="1"/>
          </rPr>
          <t xml:space="preserve">Nombre de kilomètres
</t>
        </r>
      </text>
    </comment>
    <comment ref="K66" authorId="2" shapeId="0" xr:uid="{B3DD03D9-1D16-4862-ACB1-F2AFEFAFED92}">
      <text>
        <r>
          <rPr>
            <b/>
            <sz val="9"/>
            <color indexed="8"/>
            <rFont val="Tahoma"/>
            <family val="2"/>
            <charset val="1"/>
          </rPr>
          <t>Tarif du Kilomètre négocié avec les parents</t>
        </r>
      </text>
    </comment>
    <comment ref="AH80" authorId="2" shapeId="0" xr:uid="{39C8C256-9ED1-4B0C-80F0-6C06F3AA47F9}">
      <text>
        <r>
          <rPr>
            <b/>
            <sz val="9"/>
            <color indexed="8"/>
            <rFont val="Tahoma"/>
            <family val="2"/>
            <charset val="1"/>
          </rPr>
          <t>Pour les années complètes reporter le nbre de mois travaillés en fin d'année de référence précédente (le 31 mai précédent)
Pour les années incomplètes reporter le nbre de semaines travaillées en fin d'année de référence précédente (le 31 mai précédent)</t>
        </r>
      </text>
    </comment>
    <comment ref="AL80" authorId="2" shapeId="0" xr:uid="{B7D6A15C-D81F-4B75-89F9-CC9EDDE7ADA4}">
      <text>
        <r>
          <rPr>
            <b/>
            <sz val="9"/>
            <color indexed="8"/>
            <rFont val="Tahoma"/>
            <family val="2"/>
            <charset val="1"/>
          </rPr>
          <t xml:space="preserve">Pour les années complètes reporter le nbre de mois travaillés pour l'année de référence en cours.
Pour les années incomplètes reporter le nbre de semaines travaillées pour l'année de référence en cours.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<sst xmlns="http://schemas.openxmlformats.org/spreadsheetml/2006/main" count="560" uniqueCount="252">
  <si>
    <t>BULLETIN DE SALAIRE</t>
  </si>
  <si>
    <t>EMPLOYEUR</t>
  </si>
  <si>
    <t>Mois :</t>
  </si>
  <si>
    <t>Enfant :</t>
  </si>
  <si>
    <t>Nom, Prénom :</t>
  </si>
  <si>
    <t>Année :</t>
  </si>
  <si>
    <t>Date contrat :</t>
  </si>
  <si>
    <t>Adresse :</t>
  </si>
  <si>
    <t>Jours :</t>
  </si>
  <si>
    <t>au</t>
  </si>
  <si>
    <t>CP Ville :</t>
  </si>
  <si>
    <t>N° Pajemploi :</t>
  </si>
  <si>
    <t>SALARIE</t>
  </si>
  <si>
    <t>Adres Pajemploi :</t>
  </si>
  <si>
    <t>Convention Collective des Assistants Maternels du Particulier Employeur  - Code NAF : 88.91A</t>
  </si>
  <si>
    <t>Emploi :</t>
  </si>
  <si>
    <t>N° SS :</t>
  </si>
  <si>
    <t>Heures normales mens. :</t>
  </si>
  <si>
    <t>Heures supp mens. :</t>
  </si>
  <si>
    <t>Salaire horaire brut :</t>
  </si>
  <si>
    <t>Salaire horaire net :</t>
  </si>
  <si>
    <t>REMUNERATION</t>
  </si>
  <si>
    <t>Base</t>
  </si>
  <si>
    <t>Taux</t>
  </si>
  <si>
    <t>Montant</t>
  </si>
  <si>
    <t>Jours</t>
  </si>
  <si>
    <t>Heures</t>
  </si>
  <si>
    <t>HRS comp</t>
  </si>
  <si>
    <t>HRS supp</t>
  </si>
  <si>
    <t>Heures complémentaires</t>
  </si>
  <si>
    <t>Heures supp majorées</t>
  </si>
  <si>
    <t>-</t>
  </si>
  <si>
    <t>Retenue sur salaire (Maladie,…)</t>
  </si>
  <si>
    <t>Retenue sur salaire HS majorées (Maladie,…)</t>
  </si>
  <si>
    <t>+</t>
  </si>
  <si>
    <t>Congés payés     Avance de 10%</t>
  </si>
  <si>
    <t>Régularisation</t>
  </si>
  <si>
    <t>Indemnité compensatrice de congés payés</t>
  </si>
  <si>
    <t>Indemnité compensatrice de préavis</t>
  </si>
  <si>
    <t>Prime de précarité 10% (CDD)</t>
  </si>
  <si>
    <t>Rémunération brute :</t>
  </si>
  <si>
    <t>Salariales</t>
  </si>
  <si>
    <t>Patronales</t>
  </si>
  <si>
    <t>COTISATIONS</t>
  </si>
  <si>
    <t>Santé :</t>
  </si>
  <si>
    <t>Séc. Soc. Maladie invalidité</t>
  </si>
  <si>
    <t>Accident du travail :</t>
  </si>
  <si>
    <t>Retraite :</t>
  </si>
  <si>
    <t>Famille :</t>
  </si>
  <si>
    <t>Autres cotisations patronales</t>
  </si>
  <si>
    <t>CSG déductible de l'IR</t>
  </si>
  <si>
    <t>CSG/RDS non déductible de l'IR</t>
  </si>
  <si>
    <t>CSG/RDS non déd sur rev non imp</t>
  </si>
  <si>
    <t>Réduction cot. HC et HS</t>
  </si>
  <si>
    <t>Total cot. salariales :</t>
  </si>
  <si>
    <t>Total cot. Patronales :</t>
  </si>
  <si>
    <t>Salaire net :</t>
  </si>
  <si>
    <t>Légende calendrier :</t>
  </si>
  <si>
    <t>INDEMNITES</t>
  </si>
  <si>
    <t>WE : Week-end</t>
  </si>
  <si>
    <t>F : Jour Férié</t>
  </si>
  <si>
    <t>CVP : Convenance personnelle (non rémunérée)</t>
  </si>
  <si>
    <t>Indemnité entretien</t>
  </si>
  <si>
    <t>CP : Congés Payés Acquis</t>
  </si>
  <si>
    <t>CA : Congés Annuels (non rémunérés)</t>
  </si>
  <si>
    <t>SD : Semaine déduite au contrat</t>
  </si>
  <si>
    <t>ABS : Absence non prévue de l'enfant (rémunérée)</t>
  </si>
  <si>
    <t>Indemnité repas</t>
  </si>
  <si>
    <t>MLEF : Enfant malade (non rémunérée)</t>
  </si>
  <si>
    <t>MLAM : Maladie Assistante Maternelle (non rémunérée)</t>
  </si>
  <si>
    <t>Indemnité goûter</t>
  </si>
  <si>
    <t>Indemnité déplacement</t>
  </si>
  <si>
    <t>Gain pouvoir d'achat :</t>
  </si>
  <si>
    <t>Nombre de jours d'accueil :</t>
  </si>
  <si>
    <t>Suppression cot. maladie et chômage :</t>
  </si>
  <si>
    <t>Nombre de jours de 8h et + :</t>
  </si>
  <si>
    <t>Baisse cot hres suppl. et compl. :</t>
  </si>
  <si>
    <t>Nombre d'hres journée -8h :</t>
  </si>
  <si>
    <t>Salaire imposable :</t>
  </si>
  <si>
    <t>NET Avant Impôt  :</t>
  </si>
  <si>
    <t>HS et HC non impo. :</t>
  </si>
  <si>
    <t>Impôt à la source :</t>
  </si>
  <si>
    <t>Base prélèvement à la source de l'impôt :</t>
  </si>
  <si>
    <t>Indem. imposables :</t>
  </si>
  <si>
    <t>Taux de prélèvement à la source :</t>
  </si>
  <si>
    <t>Déjà perçu/à percevoir :</t>
  </si>
  <si>
    <t>Mode de règlement 1 :</t>
  </si>
  <si>
    <t>Commentaires :</t>
  </si>
  <si>
    <t>Montant 1 :</t>
  </si>
  <si>
    <t>Net à payer :</t>
  </si>
  <si>
    <t>Année précédente</t>
  </si>
  <si>
    <t>Année en cours</t>
  </si>
  <si>
    <t>Mode de règlement 2 :</t>
  </si>
  <si>
    <t xml:space="preserve"> </t>
  </si>
  <si>
    <t>Montant 2 :</t>
  </si>
  <si>
    <t>Fait à :</t>
  </si>
  <si>
    <t>Nombre jours acquis :</t>
  </si>
  <si>
    <t>Le :</t>
  </si>
  <si>
    <t>Congés pris payés précédemment</t>
  </si>
  <si>
    <t>Signature :</t>
  </si>
  <si>
    <t>Congés pris payés ce mois :</t>
  </si>
  <si>
    <t>Reste à prendre :</t>
  </si>
  <si>
    <t>Ind entretien horaire</t>
  </si>
  <si>
    <t>Définir le type d'Année :</t>
  </si>
  <si>
    <t>Congés supplémentaires : Enf -15 ans</t>
  </si>
  <si>
    <t>Total jours acquis :</t>
  </si>
  <si>
    <t>Congés supplémentaires : Jrs fraction.</t>
  </si>
  <si>
    <t>Année Complète</t>
  </si>
  <si>
    <t>NON</t>
  </si>
  <si>
    <t>Date</t>
  </si>
  <si>
    <t>Cotisations Salariales</t>
  </si>
  <si>
    <t>Cotisations Patronales</t>
  </si>
  <si>
    <t>Taux ss Alsace / Moselle :</t>
  </si>
  <si>
    <t xml:space="preserve">Taux de majoration : </t>
  </si>
  <si>
    <t xml:space="preserve"> des heures supplémentaires :</t>
  </si>
  <si>
    <t>des heures complémentaires :</t>
  </si>
  <si>
    <t>Salaire au réel (OUI / NON) :</t>
  </si>
  <si>
    <t>Vide</t>
  </si>
  <si>
    <t>Si le contrat prévoit des semaines de + de 45 hrs, les heures majorées sont mensualisées (OUI / NON) ?</t>
  </si>
  <si>
    <t>Autres :</t>
  </si>
  <si>
    <t>(1)</t>
  </si>
  <si>
    <t>(2)</t>
  </si>
  <si>
    <t>Indemnité de rupture</t>
  </si>
  <si>
    <t>(1) Indemnités imposables</t>
  </si>
  <si>
    <t>(2) Indemnité non imposable</t>
  </si>
  <si>
    <t>Impôt prélevé :</t>
  </si>
  <si>
    <t>Ce mois</t>
  </si>
  <si>
    <t>Depuis le 01/01</t>
  </si>
  <si>
    <t>CALCUL RETENUE SUR SALAIRE</t>
  </si>
  <si>
    <t>Nom :</t>
  </si>
  <si>
    <t>Taux horaire brut heures :</t>
  </si>
  <si>
    <t>Heures majorées mensualisées :</t>
  </si>
  <si>
    <t>Nombre d'heures potentielles du mois</t>
  </si>
  <si>
    <t>Heures d'absences</t>
  </si>
  <si>
    <t>Mensualisation heures majorées :</t>
  </si>
  <si>
    <t xml:space="preserve">Retenue sur salaire = </t>
  </si>
  <si>
    <t>Mensualisation / Nbre d'heures potentielles du mois X hrs d'absences</t>
  </si>
  <si>
    <t>Coefficient de retenue = Nbre d'hrs d'absences / Nbre d'hrs potentielles</t>
  </si>
  <si>
    <t>Montant de la retenue heures majorées :</t>
  </si>
  <si>
    <t>Coefficient : heures majorées / Heures Totales :</t>
  </si>
  <si>
    <t>Nbre d'heures majorées à déduire :</t>
  </si>
  <si>
    <t>Total hrs :</t>
  </si>
  <si>
    <t>Nbre de jrs non rémunérés :</t>
  </si>
  <si>
    <t>Hrs normales mens.  :</t>
  </si>
  <si>
    <t>Aide à la déclaration auprès de PAJEMPLOI</t>
  </si>
  <si>
    <t>MOIS (Faites votre choix)</t>
  </si>
  <si>
    <t>Date de paiement :</t>
  </si>
  <si>
    <t>Nombre d'heures normales :</t>
  </si>
  <si>
    <t>Mensualisation sur</t>
  </si>
  <si>
    <t>semaines</t>
  </si>
  <si>
    <t>Nombre de jours d'activité :</t>
  </si>
  <si>
    <t>jours</t>
  </si>
  <si>
    <t xml:space="preserve">Jours à déduire sur le mois (retenue sur salaire) : </t>
  </si>
  <si>
    <t>Nombre de jours de congés payés :</t>
  </si>
  <si>
    <t>Sal horaire net d'une heure normale :</t>
  </si>
  <si>
    <t xml:space="preserve">Nombre d'heures maj ou supplémentaires : </t>
  </si>
  <si>
    <t>Nombre d'heures complémentaires :</t>
  </si>
  <si>
    <t>Salaire net total (hors indemnités) à déclarer :</t>
  </si>
  <si>
    <t>Indemnités d'entretien :</t>
  </si>
  <si>
    <t>Indemnités de repas :</t>
  </si>
  <si>
    <t>Indemnités kilométriques :</t>
  </si>
  <si>
    <t>Indemnité compensatrice de congés payés :</t>
  </si>
  <si>
    <t>Indemnité compensatrice de préavis :</t>
  </si>
  <si>
    <t>Prime de précarité :</t>
  </si>
  <si>
    <t>Indemnité rupture :</t>
  </si>
  <si>
    <t>Indemnité départ volontaire à la retraite :</t>
  </si>
  <si>
    <t>Dépassement 5 fois le smic :</t>
  </si>
  <si>
    <t>(Si oui vérifier vos calculs ou augmenter les jours d'activité)</t>
  </si>
  <si>
    <t xml:space="preserve">Récapitulatif </t>
  </si>
  <si>
    <t>Salaire y compris indemnités :</t>
  </si>
  <si>
    <t>Montant de l'exonération au titre des hrs comp. et majorées :</t>
  </si>
  <si>
    <t>Impôt sur le revenu prélevé à la source :</t>
  </si>
  <si>
    <t>NET A PAYER sur l'attestation PAJEMPLOI</t>
  </si>
  <si>
    <t>Nombre d'heures par semaine</t>
  </si>
  <si>
    <t>heures</t>
  </si>
  <si>
    <t xml:space="preserve">Modif : </t>
  </si>
  <si>
    <t xml:space="preserve">Jours à rajouter (régularisation...) : </t>
  </si>
  <si>
    <t xml:space="preserve">Nbre de jours indemnité congés payés (année incomp) : </t>
  </si>
  <si>
    <t>Jours d'activité</t>
  </si>
  <si>
    <t>Moyenne heures/jours</t>
  </si>
  <si>
    <t>Modification jours  :</t>
  </si>
  <si>
    <t>(Heures réelles)</t>
  </si>
  <si>
    <t>(Heures mensualisées)</t>
  </si>
  <si>
    <t>En cas de retenue sur salaire afficher :</t>
  </si>
  <si>
    <t>Heures mensualisées</t>
  </si>
  <si>
    <t>Heures réelles</t>
  </si>
  <si>
    <t>En heures réelles :</t>
  </si>
  <si>
    <t>En heures mensualisées :</t>
  </si>
  <si>
    <t>TAUX SALARIALES</t>
  </si>
  <si>
    <t>JANVIER</t>
  </si>
  <si>
    <t>FEVRIER</t>
  </si>
  <si>
    <t>MARS</t>
  </si>
  <si>
    <t>AVRIL</t>
  </si>
  <si>
    <t>MAI</t>
  </si>
  <si>
    <t>JUIN</t>
  </si>
  <si>
    <t>JUILLET</t>
  </si>
  <si>
    <t>AOÛT</t>
  </si>
  <si>
    <t>SEPTEMBRE</t>
  </si>
  <si>
    <t>OCTOBRE</t>
  </si>
  <si>
    <t>NOVEMBRE</t>
  </si>
  <si>
    <t>DÉCEMBRE</t>
  </si>
  <si>
    <t>Prévoyance T1</t>
  </si>
  <si>
    <t>Prévoyance T2</t>
  </si>
  <si>
    <t>Retraite SS T1</t>
  </si>
  <si>
    <t>Retraite SS Totalité</t>
  </si>
  <si>
    <t>Retraite IRCEM T1</t>
  </si>
  <si>
    <t>CEG T1</t>
  </si>
  <si>
    <t>CET si plafond SS atteint</t>
  </si>
  <si>
    <t>Retraite IRCEM T2</t>
  </si>
  <si>
    <t>CEG T2</t>
  </si>
  <si>
    <t>Autres cotisations patronales T1</t>
  </si>
  <si>
    <t>TAUX PATRONALES</t>
  </si>
  <si>
    <t>COEFFICIENT BASE SALARIALE</t>
  </si>
  <si>
    <t>Coefficient base</t>
  </si>
  <si>
    <t>COEFFICIENT BASE PATRONALE</t>
  </si>
  <si>
    <t>Plafond CPAM :</t>
  </si>
  <si>
    <t>cpam</t>
  </si>
  <si>
    <t>Chèque</t>
  </si>
  <si>
    <t>Avez-vous des heures majorées ou complémentaires à déclarer ?</t>
  </si>
  <si>
    <t>Montant Net Social :</t>
  </si>
  <si>
    <t>Congés payés</t>
  </si>
  <si>
    <t>Mme Dupont Martine</t>
  </si>
  <si>
    <t>13 rue de Paris</t>
  </si>
  <si>
    <t>53000 Laval</t>
  </si>
  <si>
    <t>Y125885512121</t>
  </si>
  <si>
    <t>Puys en Velay</t>
  </si>
  <si>
    <t>Mathis</t>
  </si>
  <si>
    <t>Mme Martin Lucie</t>
  </si>
  <si>
    <t>58 Rue de Paris</t>
  </si>
  <si>
    <t>Assistante Maternelle</t>
  </si>
  <si>
    <t>2 60 89 56 525 896 15</t>
  </si>
  <si>
    <t>Année Incomplète</t>
  </si>
  <si>
    <t>Salaire mensualisé (hrs &lt; ou = à 45 hrs / sem)</t>
  </si>
  <si>
    <t>Heures supp mensualisées majorées</t>
  </si>
  <si>
    <t>Majoration hrs majorées mensuelles</t>
  </si>
  <si>
    <t/>
  </si>
  <si>
    <t>Nombre de semaines travaillées avant</t>
  </si>
  <si>
    <t>Semaines travaillées ce mois ci :</t>
  </si>
  <si>
    <t>Montant de la retenue heures (&lt; ou = à 45 hrs / sem) :</t>
  </si>
  <si>
    <t>Coefficient : heures (&lt; ou = à 45 hrs / sem) / Heures Totales :</t>
  </si>
  <si>
    <t>Nbre d'heures (&lt; ou = à 45 hrs / sem) à déduire :</t>
  </si>
  <si>
    <t>Nombre de jours d'accueil par semaine</t>
  </si>
  <si>
    <t>Jours acquis en arrêt de travail (Maladie)</t>
  </si>
  <si>
    <t>TABLEAU DES COTISATIONS POUR 2025</t>
  </si>
  <si>
    <t>Contribution Santé au Travail</t>
  </si>
  <si>
    <t>Assurance Chômage :</t>
  </si>
  <si>
    <t xml:space="preserve">smic horaire brut Métropole : </t>
  </si>
  <si>
    <t>Taux pajemploi brut/net :</t>
  </si>
  <si>
    <t>Taux pajemploi brut / net :</t>
  </si>
  <si>
    <t>Taux conversion brut / net St P et Miq :</t>
  </si>
  <si>
    <t>Taux conversion brut /net St Pierre et Miquelon</t>
  </si>
  <si>
    <t>Retraite IRCEM T1 - CEG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</si>
</sst>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 #,##0.00\ &quot;€&quot;_-;\-* #,##0.00\ &quot;€&quot;_-;_-* &quot;-&quot;??\ &quot;€&quot;_-;_-@_-"/>
    <numFmt numFmtId="164" formatCode="mmmm"/>
    <numFmt numFmtId="165" formatCode="dd/mm/yy"/>
    <numFmt numFmtId="166" formatCode="dd"/>
    <numFmt numFmtId="167" formatCode="0.00&quot; hrs&quot;"/>
    <numFmt numFmtId="168" formatCode="#,##0.0000&quot; €&quot;"/>
    <numFmt numFmtId="169" formatCode="_-* #,##0.00&quot; €&quot;_-;\-* #,##0.00&quot; €&quot;_-;_-* \-??&quot; €&quot;_-;_-@_-"/>
    <numFmt numFmtId="170" formatCode="ddd\ dd"/>
    <numFmt numFmtId="171" formatCode="0.000\ %"/>
    <numFmt numFmtId="172" formatCode="0.00\ %"/>
    <numFmt numFmtId="173" formatCode="0&quot; jrs&quot;"/>
    <numFmt numFmtId="174" formatCode="0.00&quot; jrs&quot;"/>
    <numFmt numFmtId="175" formatCode="0.00&quot; km&quot;"/>
    <numFmt numFmtId="176" formatCode="#,##0.00\ &quot;€&quot;"/>
    <numFmt numFmtId="177" formatCode="_-* #,##0.0000&quot; €&quot;_-;\-* #,##0.0000&quot; €&quot;_-;_-* \-??&quot; €&quot;_-;_-@_-"/>
    <numFmt numFmtId="178" formatCode="_-* #,##0.0000\ &quot;€&quot;_-;\-* #,##0.0000\ &quot;€&quot;_-;_-* &quot;-&quot;??\ &quot;€&quot;_-;_-@_-"/>
    <numFmt numFmtId="179" formatCode="#,##0.0000\ &quot;€&quot;"/>
    <numFmt numFmtId="180" formatCode="mmmm\-yyyy"/>
    <numFmt numFmtId="181" formatCode="d"/>
    <numFmt numFmtId="182" formatCode="_-* #,##0.00\ &quot;€&quot;_-;\-* #,##0.00\ &quot;€&quot;_-;_-* &quot;-&quot;????\ &quot;€&quot;_-;_-@_-"/>
    <numFmt numFmtId="183" formatCode="_-* #,##0.00\ [$€-40C]_-;\-* #,##0.00\ [$€-40C]_-;_-* &quot;-&quot;??\ [$€-40C]_-;_-@_-"/>
  </numFmts>
  <fonts count="52" x14ac:knownFonts="1">
    <font>
      <sz val="11"/>
      <color theme="1"/>
      <name val="Calibri"/>
      <family val="2"/>
      <scheme val="minor"/>
    </font>
    <font>
      <sz val="10"/>
      <color theme="1"/>
      <name val="Arial"/>
      <family val="2"/>
    </font>
    <font>
      <sz val="11"/>
      <color theme="1"/>
      <name val="Calibri"/>
      <family val="2"/>
      <scheme val="minor"/>
    </font>
    <font>
      <sz val="11"/>
      <color theme="0"/>
      <name val="Calibri"/>
      <family val="2"/>
      <scheme val="minor"/>
    </font>
    <font>
      <sz val="10"/>
      <name val="Arial"/>
      <family val="2"/>
      <charset val="1"/>
    </font>
    <font>
      <b/>
      <sz val="14"/>
      <name val="Arial"/>
      <family val="2"/>
      <charset val="1"/>
    </font>
    <font>
      <b/>
      <sz val="10"/>
      <name val="Arial"/>
      <family val="2"/>
      <charset val="1"/>
    </font>
    <font>
      <b/>
      <sz val="10"/>
      <name val="Arial"/>
      <family val="2"/>
    </font>
    <font>
      <sz val="10"/>
      <color indexed="8"/>
      <name val="Arial"/>
      <family val="2"/>
      <charset val="1"/>
    </font>
    <font>
      <sz val="8"/>
      <name val="Arial"/>
      <family val="2"/>
      <charset val="1"/>
    </font>
    <font>
      <sz val="9"/>
      <name val="Arial"/>
      <family val="2"/>
      <charset val="1"/>
    </font>
    <font>
      <sz val="9"/>
      <color indexed="8"/>
      <name val="Arial"/>
      <family val="2"/>
      <charset val="1"/>
    </font>
    <font>
      <b/>
      <sz val="20"/>
      <color indexed="8"/>
      <name val="Arial"/>
      <family val="2"/>
    </font>
    <font>
      <b/>
      <sz val="16"/>
      <color indexed="8"/>
      <name val="Arial"/>
      <family val="2"/>
    </font>
    <font>
      <b/>
      <sz val="9"/>
      <name val="Arial"/>
      <family val="2"/>
      <charset val="1"/>
    </font>
    <font>
      <u/>
      <sz val="9"/>
      <color indexed="8"/>
      <name val="Arial"/>
      <family val="2"/>
      <charset val="1"/>
    </font>
    <font>
      <i/>
      <sz val="9"/>
      <color indexed="8"/>
      <name val="Arial"/>
      <family val="2"/>
    </font>
    <font>
      <u/>
      <sz val="9"/>
      <name val="Arial"/>
      <family val="2"/>
      <charset val="1"/>
    </font>
    <font>
      <u/>
      <sz val="8"/>
      <name val="Arial"/>
      <family val="2"/>
    </font>
    <font>
      <sz val="8"/>
      <name val="Arial"/>
      <family val="2"/>
    </font>
    <font>
      <sz val="10"/>
      <name val="Arial"/>
      <family val="2"/>
    </font>
    <font>
      <u/>
      <sz val="10"/>
      <name val="Arial"/>
      <family val="2"/>
      <charset val="1"/>
    </font>
    <font>
      <b/>
      <sz val="12"/>
      <name val="Arial"/>
      <family val="2"/>
      <charset val="1"/>
    </font>
    <font>
      <b/>
      <sz val="8"/>
      <color indexed="81"/>
      <name val="Tahoma"/>
      <family val="2"/>
    </font>
    <font>
      <b/>
      <sz val="9"/>
      <color indexed="81"/>
      <name val="Tahoma"/>
      <family val="2"/>
    </font>
    <font>
      <b/>
      <sz val="9"/>
      <color indexed="8"/>
      <name val="Tahoma"/>
      <family val="2"/>
      <charset val="1"/>
    </font>
    <font>
      <b/>
      <sz val="11"/>
      <color theme="1"/>
      <name val="Calibri"/>
      <family val="2"/>
      <scheme val="minor"/>
    </font>
    <font>
      <u/>
      <sz val="11"/>
      <color theme="1"/>
      <name val="Calibri"/>
      <family val="2"/>
      <scheme val="minor"/>
    </font>
    <font>
      <i/>
      <sz val="9"/>
      <name val="Arial"/>
      <family val="2"/>
    </font>
    <font>
      <b/>
      <sz val="9"/>
      <name val="Arial"/>
      <family val="2"/>
    </font>
    <font>
      <sz val="10"/>
      <color theme="1"/>
      <name val="Arial"/>
      <family val="2"/>
    </font>
    <font>
      <b/>
      <u/>
      <sz val="10"/>
      <color theme="9" tint="-0.499984740745262"/>
      <name val="Arial"/>
      <family val="2"/>
    </font>
    <font>
      <sz val="10"/>
      <color theme="0"/>
      <name val="Arial"/>
      <family val="2"/>
    </font>
    <font>
      <sz val="10"/>
      <color indexed="9"/>
      <name val="Arial"/>
      <family val="2"/>
    </font>
    <font>
      <sz val="10"/>
      <color rgb="FFFF0000"/>
      <name val="Arial"/>
      <family val="2"/>
    </font>
    <font>
      <i/>
      <sz val="10"/>
      <name val="Arial"/>
      <family val="2"/>
    </font>
    <font>
      <i/>
      <sz val="10"/>
      <color rgb="FFFF0000"/>
      <name val="Arial"/>
      <family val="2"/>
    </font>
    <font>
      <b/>
      <sz val="14"/>
      <name val="Arial"/>
      <family val="2"/>
    </font>
    <font>
      <sz val="14"/>
      <name val="Arial"/>
      <family val="2"/>
    </font>
    <font>
      <sz val="10"/>
      <color theme="0"/>
      <name val="Arial"/>
      <family val="2"/>
      <charset val="1"/>
    </font>
    <font>
      <b/>
      <sz val="12"/>
      <name val="Arial"/>
      <family val="2"/>
    </font>
    <font>
      <sz val="10"/>
      <color rgb="FF000000"/>
      <name val="Arial"/>
      <family val="2"/>
      <charset val="1"/>
    </font>
    <font>
      <i/>
      <sz val="10"/>
      <color rgb="FF000000"/>
      <name val="Arial"/>
      <family val="2"/>
      <charset val="1"/>
    </font>
    <font>
      <b/>
      <sz val="10"/>
      <color rgb="FF000000"/>
      <name val="Arial"/>
      <family val="2"/>
      <charset val="1"/>
    </font>
    <font>
      <b/>
      <sz val="11"/>
      <color rgb="FF000000"/>
      <name val="Calibri"/>
      <family val="2"/>
      <charset val="1"/>
    </font>
    <font>
      <b/>
      <sz val="10"/>
      <color theme="0"/>
      <name val="Arial"/>
      <family val="2"/>
      <charset val="1"/>
    </font>
    <font>
      <i/>
      <sz val="8"/>
      <color theme="5" tint="-0.249977111117893"/>
      <name val="Arial"/>
      <family val="2"/>
    </font>
    <font>
      <sz val="9"/>
      <color theme="0"/>
      <name val="Arial"/>
      <family val="2"/>
    </font>
    <font>
      <b/>
      <sz val="11"/>
      <color theme="0"/>
      <name val="Calibri"/>
      <family val="2"/>
      <scheme val="minor"/>
    </font>
    <font>
      <u/>
      <sz val="8"/>
      <color theme="0"/>
      <name val="Arial"/>
      <family val="2"/>
    </font>
    <font>
      <sz val="8"/>
      <color theme="0"/>
      <name val="Arial"/>
      <family val="2"/>
    </font>
    <font>
      <sz val="11"/>
      <name val="Calibri"/>
      <family val="2"/>
      <scheme val="minor"/>
    </font>
  </fonts>
  <fills count="11">
    <fill>
      <patternFill patternType="none"/>
    </fill>
    <fill>
      <patternFill patternType="gray125"/>
    </fill>
    <fill>
      <patternFill patternType="solid">
        <fgColor theme="5"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rgb="FFF15C5A"/>
        <bgColor indexed="64"/>
      </patternFill>
    </fill>
    <fill>
      <patternFill patternType="solid">
        <fgColor rgb="FFF15C5A"/>
        <bgColor indexed="27"/>
      </patternFill>
    </fill>
    <fill>
      <patternFill patternType="solid">
        <fgColor rgb="FFF15C5A"/>
        <bgColor rgb="FFFF6600"/>
      </patternFill>
    </fill>
  </fills>
  <borders count="10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double">
        <color indexed="8"/>
      </left>
      <right style="thin">
        <color indexed="8"/>
      </right>
      <top style="double">
        <color indexed="8"/>
      </top>
      <bottom/>
      <diagonal/>
    </border>
    <border>
      <left style="thin">
        <color indexed="8"/>
      </left>
      <right style="thin">
        <color indexed="8"/>
      </right>
      <top style="double">
        <color indexed="8"/>
      </top>
      <bottom/>
      <diagonal/>
    </border>
    <border>
      <left style="thin">
        <color indexed="8"/>
      </left>
      <right style="double">
        <color indexed="8"/>
      </right>
      <top style="double">
        <color indexed="8"/>
      </top>
      <bottom/>
      <diagonal/>
    </border>
    <border>
      <left/>
      <right style="thin">
        <color indexed="8"/>
      </right>
      <top style="thin">
        <color indexed="8"/>
      </top>
      <bottom/>
      <diagonal/>
    </border>
    <border>
      <left/>
      <right style="double">
        <color indexed="8"/>
      </right>
      <top/>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right style="thin">
        <color indexed="8"/>
      </right>
      <top/>
      <bottom/>
      <diagonal/>
    </border>
    <border>
      <left style="thin">
        <color indexed="8"/>
      </left>
      <right/>
      <top/>
      <bottom/>
      <diagonal/>
    </border>
    <border>
      <left style="double">
        <color indexed="8"/>
      </left>
      <right style="thin">
        <color indexed="8"/>
      </right>
      <top/>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bottom/>
      <diagonal/>
    </border>
    <border>
      <left style="thin">
        <color indexed="8"/>
      </left>
      <right style="thin">
        <color indexed="64"/>
      </right>
      <top/>
      <bottom/>
      <diagonal/>
    </border>
    <border>
      <left style="double">
        <color indexed="8"/>
      </left>
      <right style="thin">
        <color indexed="8"/>
      </right>
      <top/>
      <bottom style="double">
        <color indexed="8"/>
      </bottom>
      <diagonal/>
    </border>
    <border>
      <left style="thin">
        <color indexed="8"/>
      </left>
      <right style="thin">
        <color indexed="8"/>
      </right>
      <top style="thin">
        <color indexed="8"/>
      </top>
      <bottom style="double">
        <color indexed="8"/>
      </bottom>
      <diagonal/>
    </border>
    <border>
      <left/>
      <right/>
      <top style="thin">
        <color indexed="8"/>
      </top>
      <bottom style="double">
        <color indexed="8"/>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top style="thin">
        <color indexed="64"/>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indexed="8"/>
      </left>
      <right style="thin">
        <color indexed="8"/>
      </right>
      <top style="thin">
        <color indexed="8"/>
      </top>
      <bottom style="thin">
        <color indexed="8"/>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thin">
        <color indexed="64"/>
      </left>
      <right style="thin">
        <color indexed="64"/>
      </right>
      <top style="thin">
        <color indexed="64"/>
      </top>
      <bottom style="thin">
        <color indexed="64"/>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right style="thin">
        <color indexed="8"/>
      </right>
      <top style="thin">
        <color indexed="64"/>
      </top>
      <bottom/>
      <diagonal/>
    </border>
    <border>
      <left style="thin">
        <color indexed="8"/>
      </left>
      <right/>
      <top style="thin">
        <color indexed="64"/>
      </top>
      <bottom/>
      <diagonal/>
    </border>
    <border>
      <left style="thin">
        <color indexed="8"/>
      </left>
      <right style="double">
        <color indexed="8"/>
      </right>
      <top/>
      <bottom/>
      <diagonal/>
    </border>
    <border>
      <left style="thin">
        <color indexed="8"/>
      </left>
      <right style="double">
        <color indexed="8"/>
      </right>
      <top style="thin">
        <color indexed="8"/>
      </top>
      <bottom style="double">
        <color indexed="8"/>
      </bottom>
      <diagonal/>
    </border>
    <border>
      <left style="thin">
        <color indexed="64"/>
      </left>
      <right style="thin">
        <color auto="1"/>
      </right>
      <top/>
      <bottom/>
      <diagonal/>
    </border>
    <border>
      <left/>
      <right style="thin">
        <color indexed="8"/>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ck">
        <color auto="1"/>
      </top>
      <bottom/>
      <diagonal/>
    </border>
    <border>
      <left style="thin">
        <color indexed="8"/>
      </left>
      <right style="thin">
        <color indexed="64"/>
      </right>
      <top style="thin">
        <color indexed="64"/>
      </top>
      <bottom/>
      <diagonal/>
    </border>
    <border>
      <left/>
      <right style="thin">
        <color indexed="8"/>
      </right>
      <top/>
      <bottom/>
      <diagonal/>
    </border>
    <border>
      <left/>
      <right style="thin">
        <color indexed="64"/>
      </right>
      <top/>
      <bottom/>
      <diagonal/>
    </border>
    <border>
      <left/>
      <right style="dashed">
        <color auto="1"/>
      </right>
      <top/>
      <bottom/>
      <diagonal/>
    </border>
    <border>
      <left/>
      <right style="thin">
        <color indexed="64"/>
      </right>
      <top/>
      <bottom/>
      <diagonal/>
    </border>
  </borders>
  <cellStyleXfs count="4">
    <xf numFmtId="0" fontId="0" fillId="0" borderId="0"/>
    <xf numFmtId="9" fontId="2" fillId="0" borderId="0" applyFont="0" applyFill="0" applyBorder="0" applyAlignment="0" applyProtection="0"/>
    <xf numFmtId="0" fontId="4" fillId="0" borderId="0"/>
    <xf numFmtId="44" fontId="2" fillId="0" borderId="0" applyFont="0" applyFill="0" applyBorder="0" applyAlignment="0" applyProtection="0"/>
  </cellStyleXfs>
  <cellXfs count="750">
    <xf numFmtId="0" fontId="0" fillId="0" borderId="0" xfId="0"/>
    <xf numFmtId="0" fontId="11" fillId="0" borderId="12" xfId="2" applyFont="1" applyBorder="1"/>
    <xf numFmtId="164" fontId="0" fillId="0" borderId="0" xfId="0" applyNumberFormat="1"/>
    <xf numFmtId="0" fontId="26" fillId="0" borderId="0" xfId="0" applyFont="1" applyAlignment="1">
      <alignment horizontal="center"/>
    </xf>
    <xf numFmtId="0" fontId="15" fillId="0" borderId="9" xfId="2" applyFont="1" applyBorder="1" applyAlignment="1">
      <alignment horizontal="left"/>
    </xf>
    <xf numFmtId="0" fontId="16" fillId="0" borderId="12" xfId="2" applyFont="1" applyBorder="1" applyAlignment="1">
      <alignment horizontal="left"/>
    </xf>
    <xf numFmtId="0" fontId="15" fillId="0" borderId="12" xfId="2" applyFont="1" applyBorder="1" applyAlignment="1">
      <alignment horizontal="left"/>
    </xf>
    <xf numFmtId="0" fontId="17" fillId="0" borderId="12" xfId="2" applyFont="1" applyBorder="1" applyAlignment="1">
      <alignment horizontal="left"/>
    </xf>
    <xf numFmtId="0" fontId="10" fillId="0" borderId="18" xfId="2" applyFont="1" applyBorder="1"/>
    <xf numFmtId="0" fontId="0" fillId="0" borderId="72" xfId="0" applyBorder="1" applyAlignment="1">
      <alignment horizontal="center"/>
    </xf>
    <xf numFmtId="0" fontId="0" fillId="0" borderId="3" xfId="0" applyBorder="1" applyAlignment="1">
      <alignment horizontal="center"/>
    </xf>
    <xf numFmtId="171" fontId="0" fillId="0" borderId="72" xfId="0" applyNumberFormat="1" applyBorder="1"/>
    <xf numFmtId="0" fontId="27" fillId="0" borderId="0" xfId="0" applyFont="1" applyProtection="1">
      <protection hidden="1"/>
    </xf>
    <xf numFmtId="0" fontId="0" fillId="0" borderId="0" xfId="0" applyProtection="1">
      <protection hidden="1"/>
    </xf>
    <xf numFmtId="0" fontId="10" fillId="0" borderId="72" xfId="2" quotePrefix="1" applyFont="1" applyBorder="1" applyAlignment="1" applyProtection="1">
      <alignment horizontal="center" vertical="center"/>
      <protection hidden="1"/>
    </xf>
    <xf numFmtId="0" fontId="4" fillId="0" borderId="0" xfId="2" applyProtection="1">
      <protection hidden="1"/>
    </xf>
    <xf numFmtId="0" fontId="30" fillId="0" borderId="0" xfId="0" applyFont="1" applyProtection="1">
      <protection hidden="1"/>
    </xf>
    <xf numFmtId="0" fontId="7" fillId="0" borderId="0" xfId="0" applyFont="1" applyProtection="1">
      <protection hidden="1"/>
    </xf>
    <xf numFmtId="0" fontId="30" fillId="0" borderId="0" xfId="0" applyFont="1" applyAlignment="1" applyProtection="1">
      <alignment horizontal="right"/>
      <protection hidden="1"/>
    </xf>
    <xf numFmtId="0" fontId="31" fillId="0" borderId="0" xfId="0" applyFont="1" applyAlignment="1" applyProtection="1">
      <alignment horizontal="center"/>
      <protection hidden="1"/>
    </xf>
    <xf numFmtId="0" fontId="20" fillId="0" borderId="0" xfId="0" applyFont="1" applyProtection="1">
      <protection hidden="1"/>
    </xf>
    <xf numFmtId="0" fontId="20" fillId="0" borderId="0" xfId="0" applyFont="1" applyAlignment="1" applyProtection="1">
      <alignment horizontal="right"/>
      <protection hidden="1"/>
    </xf>
    <xf numFmtId="167" fontId="30" fillId="0" borderId="0" xfId="0" applyNumberFormat="1" applyFont="1" applyProtection="1">
      <protection hidden="1"/>
    </xf>
    <xf numFmtId="178" fontId="30" fillId="0" borderId="0" xfId="0" applyNumberFormat="1" applyFont="1" applyProtection="1">
      <protection hidden="1"/>
    </xf>
    <xf numFmtId="179" fontId="32" fillId="0" borderId="0" xfId="0" applyNumberFormat="1" applyFont="1" applyProtection="1">
      <protection hidden="1"/>
    </xf>
    <xf numFmtId="0" fontId="32" fillId="0" borderId="0" xfId="0" applyFont="1" applyAlignment="1" applyProtection="1">
      <alignment horizontal="right"/>
      <protection hidden="1"/>
    </xf>
    <xf numFmtId="176" fontId="32" fillId="0" borderId="0" xfId="0" applyNumberFormat="1" applyFont="1" applyProtection="1">
      <protection hidden="1"/>
    </xf>
    <xf numFmtId="178" fontId="32" fillId="0" borderId="0" xfId="0" applyNumberFormat="1" applyFont="1" applyProtection="1">
      <protection hidden="1"/>
    </xf>
    <xf numFmtId="180" fontId="30" fillId="0" borderId="0" xfId="0" applyNumberFormat="1" applyFont="1" applyAlignment="1" applyProtection="1">
      <alignment horizontal="center"/>
      <protection hidden="1"/>
    </xf>
    <xf numFmtId="180" fontId="30" fillId="0" borderId="0" xfId="0" applyNumberFormat="1" applyFont="1" applyProtection="1">
      <protection hidden="1"/>
    </xf>
    <xf numFmtId="180" fontId="32" fillId="0" borderId="0" xfId="0" applyNumberFormat="1" applyFont="1" applyProtection="1">
      <protection hidden="1"/>
    </xf>
    <xf numFmtId="181" fontId="32" fillId="0" borderId="0" xfId="0" applyNumberFormat="1" applyFont="1" applyProtection="1">
      <protection hidden="1"/>
    </xf>
    <xf numFmtId="182" fontId="30" fillId="0" borderId="0" xfId="0" applyNumberFormat="1" applyFont="1" applyProtection="1">
      <protection hidden="1"/>
    </xf>
    <xf numFmtId="14" fontId="33" fillId="0" borderId="0" xfId="0" applyNumberFormat="1" applyFont="1" applyProtection="1">
      <protection hidden="1"/>
    </xf>
    <xf numFmtId="0" fontId="32" fillId="0" borderId="0" xfId="0" applyFont="1" applyProtection="1">
      <protection hidden="1"/>
    </xf>
    <xf numFmtId="170" fontId="30" fillId="0" borderId="89" xfId="0" applyNumberFormat="1" applyFont="1" applyBorder="1" applyProtection="1">
      <protection hidden="1"/>
    </xf>
    <xf numFmtId="0" fontId="7" fillId="0" borderId="0" xfId="0" applyFont="1" applyAlignment="1" applyProtection="1">
      <alignment horizontal="right"/>
      <protection hidden="1"/>
    </xf>
    <xf numFmtId="0" fontId="30" fillId="0" borderId="0" xfId="0" quotePrefix="1" applyFont="1" applyProtection="1">
      <protection hidden="1"/>
    </xf>
    <xf numFmtId="183" fontId="7" fillId="0" borderId="0" xfId="0" applyNumberFormat="1" applyFont="1" applyAlignment="1" applyProtection="1">
      <alignment horizontal="left"/>
      <protection hidden="1"/>
    </xf>
    <xf numFmtId="0" fontId="30" fillId="0" borderId="0" xfId="0" applyFont="1" applyAlignment="1" applyProtection="1">
      <alignment horizontal="left"/>
      <protection hidden="1"/>
    </xf>
    <xf numFmtId="0" fontId="30" fillId="3" borderId="0" xfId="0" applyFont="1" applyFill="1" applyProtection="1">
      <protection hidden="1"/>
    </xf>
    <xf numFmtId="0" fontId="30" fillId="5" borderId="0" xfId="0" applyFont="1" applyFill="1" applyProtection="1">
      <protection hidden="1"/>
    </xf>
    <xf numFmtId="44" fontId="7" fillId="0" borderId="0" xfId="3" applyFont="1" applyAlignment="1" applyProtection="1">
      <alignment horizontal="left"/>
      <protection hidden="1"/>
    </xf>
    <xf numFmtId="0" fontId="34" fillId="0" borderId="0" xfId="0" applyFont="1" applyProtection="1">
      <protection hidden="1"/>
    </xf>
    <xf numFmtId="0" fontId="35" fillId="5" borderId="0" xfId="0" applyFont="1" applyFill="1" applyProtection="1">
      <protection hidden="1"/>
    </xf>
    <xf numFmtId="0" fontId="36" fillId="5" borderId="0" xfId="0" applyFont="1" applyFill="1" applyProtection="1">
      <protection hidden="1"/>
    </xf>
    <xf numFmtId="0" fontId="34" fillId="5" borderId="0" xfId="0" applyFont="1" applyFill="1" applyProtection="1">
      <protection hidden="1"/>
    </xf>
    <xf numFmtId="0" fontId="35" fillId="0" borderId="0" xfId="0" applyFont="1" applyProtection="1">
      <protection hidden="1"/>
    </xf>
    <xf numFmtId="0" fontId="35" fillId="0" borderId="0" xfId="0" applyFont="1" applyAlignment="1" applyProtection="1">
      <alignment horizontal="right"/>
      <protection hidden="1"/>
    </xf>
    <xf numFmtId="0" fontId="36" fillId="0" borderId="0" xfId="0" applyFont="1" applyProtection="1">
      <protection hidden="1"/>
    </xf>
    <xf numFmtId="0" fontId="35" fillId="3" borderId="0" xfId="0" applyFont="1" applyFill="1" applyProtection="1">
      <protection hidden="1"/>
    </xf>
    <xf numFmtId="0" fontId="34" fillId="3" borderId="0" xfId="0" applyFont="1" applyFill="1" applyProtection="1">
      <protection hidden="1"/>
    </xf>
    <xf numFmtId="167" fontId="7" fillId="0" borderId="0" xfId="0" applyNumberFormat="1" applyFont="1" applyAlignment="1" applyProtection="1">
      <alignment horizontal="left"/>
      <protection hidden="1"/>
    </xf>
    <xf numFmtId="167" fontId="32" fillId="0" borderId="0" xfId="0" applyNumberFormat="1" applyFont="1" applyAlignment="1" applyProtection="1">
      <alignment horizontal="left"/>
      <protection hidden="1"/>
    </xf>
    <xf numFmtId="0" fontId="20" fillId="0" borderId="95" xfId="0" applyFont="1" applyBorder="1" applyAlignment="1" applyProtection="1">
      <alignment horizontal="right"/>
      <protection hidden="1"/>
    </xf>
    <xf numFmtId="2" fontId="30" fillId="0" borderId="95" xfId="0" applyNumberFormat="1" applyFont="1" applyBorder="1" applyProtection="1">
      <protection hidden="1"/>
    </xf>
    <xf numFmtId="176" fontId="32" fillId="0" borderId="0" xfId="3" applyNumberFormat="1" applyFont="1" applyAlignment="1" applyProtection="1">
      <alignment horizontal="left" vertical="center"/>
      <protection hidden="1"/>
    </xf>
    <xf numFmtId="176" fontId="32" fillId="0" borderId="0" xfId="0" applyNumberFormat="1" applyFont="1" applyAlignment="1" applyProtection="1">
      <alignment horizontal="left"/>
      <protection hidden="1"/>
    </xf>
    <xf numFmtId="2" fontId="30" fillId="0" borderId="0" xfId="0" applyNumberFormat="1" applyFont="1" applyProtection="1">
      <protection hidden="1"/>
    </xf>
    <xf numFmtId="0" fontId="37" fillId="0" borderId="0" xfId="2" applyFont="1" applyProtection="1">
      <protection hidden="1"/>
    </xf>
    <xf numFmtId="0" fontId="38" fillId="0" borderId="0" xfId="0" applyFont="1" applyProtection="1">
      <protection hidden="1"/>
    </xf>
    <xf numFmtId="0" fontId="6" fillId="0" borderId="0" xfId="2" applyFont="1" applyProtection="1">
      <protection hidden="1"/>
    </xf>
    <xf numFmtId="14" fontId="7" fillId="0" borderId="0" xfId="2" applyNumberFormat="1" applyFont="1" applyAlignment="1" applyProtection="1">
      <alignment horizontal="right"/>
      <protection hidden="1"/>
    </xf>
    <xf numFmtId="0" fontId="0" fillId="0" borderId="0" xfId="0" applyAlignment="1" applyProtection="1">
      <alignment horizontal="right"/>
      <protection hidden="1"/>
    </xf>
    <xf numFmtId="1" fontId="4" fillId="0" borderId="0" xfId="2" applyNumberFormat="1" applyAlignment="1" applyProtection="1">
      <alignment horizontal="right"/>
      <protection hidden="1"/>
    </xf>
    <xf numFmtId="169" fontId="4" fillId="0" borderId="0" xfId="2" applyNumberFormat="1" applyAlignment="1" applyProtection="1">
      <alignment horizontal="right"/>
      <protection hidden="1"/>
    </xf>
    <xf numFmtId="0" fontId="21" fillId="0" borderId="0" xfId="2" applyFont="1" applyProtection="1">
      <protection hidden="1"/>
    </xf>
    <xf numFmtId="169" fontId="7" fillId="0" borderId="0" xfId="2" applyNumberFormat="1" applyFont="1" applyAlignment="1" applyProtection="1">
      <alignment horizontal="right"/>
      <protection hidden="1"/>
    </xf>
    <xf numFmtId="0" fontId="39" fillId="0" borderId="0" xfId="2" applyFont="1" applyProtection="1">
      <protection hidden="1"/>
    </xf>
    <xf numFmtId="169" fontId="39" fillId="0" borderId="0" xfId="2" applyNumberFormat="1" applyFont="1" applyAlignment="1" applyProtection="1">
      <alignment horizontal="right"/>
      <protection hidden="1"/>
    </xf>
    <xf numFmtId="169" fontId="40" fillId="0" borderId="72" xfId="2" applyNumberFormat="1" applyFont="1" applyBorder="1" applyAlignment="1" applyProtection="1">
      <alignment horizontal="center"/>
      <protection hidden="1"/>
    </xf>
    <xf numFmtId="0" fontId="0" fillId="0" borderId="96" xfId="0" applyBorder="1" applyProtection="1">
      <protection hidden="1"/>
    </xf>
    <xf numFmtId="0" fontId="0" fillId="0" borderId="96" xfId="0" applyBorder="1" applyAlignment="1" applyProtection="1">
      <alignment horizontal="right"/>
      <protection hidden="1"/>
    </xf>
    <xf numFmtId="169" fontId="7" fillId="0" borderId="72" xfId="2" applyNumberFormat="1" applyFont="1" applyBorder="1" applyAlignment="1" applyProtection="1">
      <alignment horizontal="right"/>
      <protection hidden="1"/>
    </xf>
    <xf numFmtId="0" fontId="4" fillId="0" borderId="0" xfId="2" applyAlignment="1" applyProtection="1">
      <alignment horizontal="right"/>
      <protection hidden="1"/>
    </xf>
    <xf numFmtId="0" fontId="7" fillId="0" borderId="0" xfId="0" applyFont="1" applyAlignment="1" applyProtection="1">
      <alignment horizontal="center"/>
      <protection hidden="1"/>
    </xf>
    <xf numFmtId="0" fontId="4" fillId="0" borderId="0" xfId="2" applyAlignment="1" applyProtection="1">
      <alignment horizontal="center"/>
      <protection hidden="1"/>
    </xf>
    <xf numFmtId="169" fontId="10" fillId="0" borderId="0" xfId="2" applyNumberFormat="1" applyFont="1" applyAlignment="1" applyProtection="1">
      <alignment horizontal="right"/>
      <protection hidden="1"/>
    </xf>
    <xf numFmtId="169" fontId="10" fillId="0" borderId="0" xfId="2" applyNumberFormat="1" applyFont="1" applyAlignment="1" applyProtection="1">
      <alignment horizontal="center"/>
      <protection hidden="1"/>
    </xf>
    <xf numFmtId="0" fontId="10" fillId="0" borderId="0" xfId="2" applyFont="1" applyProtection="1">
      <protection hidden="1"/>
    </xf>
    <xf numFmtId="169" fontId="14" fillId="0" borderId="0" xfId="2" applyNumberFormat="1" applyFont="1" applyAlignment="1" applyProtection="1">
      <alignment horizontal="right"/>
      <protection hidden="1"/>
    </xf>
    <xf numFmtId="0" fontId="5" fillId="0" borderId="0" xfId="2" applyFont="1" applyAlignment="1" applyProtection="1">
      <alignment horizontal="center" vertical="center"/>
      <protection hidden="1"/>
    </xf>
    <xf numFmtId="0" fontId="4" fillId="0" borderId="4" xfId="2" applyBorder="1" applyProtection="1">
      <protection hidden="1"/>
    </xf>
    <xf numFmtId="0" fontId="4" fillId="0" borderId="5" xfId="2" applyBorder="1" applyProtection="1">
      <protection hidden="1"/>
    </xf>
    <xf numFmtId="0" fontId="26" fillId="0" borderId="0" xfId="0" applyFont="1" applyProtection="1">
      <protection locked="0" hidden="1"/>
    </xf>
    <xf numFmtId="0" fontId="4" fillId="0" borderId="14" xfId="2" applyBorder="1" applyProtection="1">
      <protection hidden="1"/>
    </xf>
    <xf numFmtId="0" fontId="4" fillId="0" borderId="15" xfId="2" applyBorder="1" applyProtection="1">
      <protection hidden="1"/>
    </xf>
    <xf numFmtId="164" fontId="4" fillId="0" borderId="0" xfId="2" applyNumberFormat="1" applyProtection="1">
      <protection hidden="1"/>
    </xf>
    <xf numFmtId="0" fontId="4" fillId="0" borderId="1" xfId="2" applyBorder="1" applyProtection="1">
      <protection hidden="1"/>
    </xf>
    <xf numFmtId="0" fontId="4" fillId="0" borderId="3" xfId="2" applyBorder="1" applyProtection="1">
      <protection hidden="1"/>
    </xf>
    <xf numFmtId="165" fontId="4" fillId="0" borderId="0" xfId="2" applyNumberFormat="1" applyAlignment="1" applyProtection="1">
      <alignment horizontal="center"/>
      <protection hidden="1"/>
    </xf>
    <xf numFmtId="0" fontId="6" fillId="0" borderId="0" xfId="2" applyFont="1" applyAlignment="1" applyProtection="1">
      <alignment horizontal="center"/>
      <protection hidden="1"/>
    </xf>
    <xf numFmtId="0" fontId="26" fillId="0" borderId="0" xfId="0" applyFont="1" applyAlignment="1" applyProtection="1">
      <alignment horizontal="left"/>
      <protection hidden="1"/>
    </xf>
    <xf numFmtId="0" fontId="4" fillId="0" borderId="0" xfId="2" applyAlignment="1" applyProtection="1">
      <alignment horizontal="center" vertical="center" wrapText="1"/>
      <protection hidden="1"/>
    </xf>
    <xf numFmtId="0" fontId="4" fillId="0" borderId="0" xfId="2" applyAlignment="1" applyProtection="1">
      <alignment horizontal="left"/>
      <protection hidden="1"/>
    </xf>
    <xf numFmtId="9" fontId="4" fillId="0" borderId="0" xfId="1" applyFont="1" applyFill="1" applyBorder="1" applyAlignment="1" applyProtection="1">
      <protection locked="0" hidden="1"/>
    </xf>
    <xf numFmtId="168" fontId="4" fillId="0" borderId="0" xfId="2" applyNumberFormat="1" applyAlignment="1" applyProtection="1">
      <alignment horizontal="center"/>
      <protection hidden="1"/>
    </xf>
    <xf numFmtId="9" fontId="4" fillId="0" borderId="0" xfId="1" applyFont="1" applyFill="1" applyBorder="1" applyAlignment="1" applyProtection="1">
      <alignment horizontal="center"/>
      <protection hidden="1"/>
    </xf>
    <xf numFmtId="0" fontId="4" fillId="0" borderId="26" xfId="2" applyBorder="1" applyAlignment="1" applyProtection="1">
      <alignment horizontal="center"/>
      <protection hidden="1"/>
    </xf>
    <xf numFmtId="0" fontId="9" fillId="0" borderId="0" xfId="2" applyFont="1" applyAlignment="1" applyProtection="1">
      <alignment horizontal="center"/>
      <protection hidden="1"/>
    </xf>
    <xf numFmtId="167" fontId="9" fillId="0" borderId="0" xfId="2" applyNumberFormat="1" applyFont="1" applyAlignment="1" applyProtection="1">
      <alignment horizontal="center"/>
      <protection hidden="1"/>
    </xf>
    <xf numFmtId="167" fontId="3" fillId="0" borderId="0" xfId="0" applyNumberFormat="1" applyFont="1" applyProtection="1">
      <protection hidden="1"/>
    </xf>
    <xf numFmtId="169" fontId="11" fillId="0" borderId="0" xfId="2" applyNumberFormat="1" applyFont="1" applyAlignment="1" applyProtection="1">
      <alignment horizontal="right"/>
      <protection hidden="1"/>
    </xf>
    <xf numFmtId="169" fontId="14" fillId="0" borderId="0" xfId="2" applyNumberFormat="1" applyFont="1" applyAlignment="1" applyProtection="1">
      <alignment horizontal="center"/>
      <protection hidden="1"/>
    </xf>
    <xf numFmtId="0" fontId="6" fillId="0" borderId="0" xfId="2" applyFont="1" applyAlignment="1" applyProtection="1">
      <alignment horizontal="right"/>
      <protection hidden="1"/>
    </xf>
    <xf numFmtId="169" fontId="4" fillId="0" borderId="0" xfId="2" applyNumberFormat="1" applyAlignment="1" applyProtection="1">
      <alignment horizontal="center"/>
      <protection hidden="1"/>
    </xf>
    <xf numFmtId="167" fontId="9" fillId="0" borderId="0" xfId="2" applyNumberFormat="1" applyFont="1" applyProtection="1">
      <protection hidden="1"/>
    </xf>
    <xf numFmtId="0" fontId="19" fillId="0" borderId="0" xfId="2" applyFont="1" applyProtection="1">
      <protection hidden="1"/>
    </xf>
    <xf numFmtId="0" fontId="19" fillId="0" borderId="0" xfId="2" applyFont="1" applyAlignment="1" applyProtection="1">
      <alignment horizontal="center"/>
      <protection hidden="1"/>
    </xf>
    <xf numFmtId="0" fontId="4" fillId="0" borderId="25" xfId="2" applyBorder="1" applyProtection="1">
      <protection hidden="1"/>
    </xf>
    <xf numFmtId="0" fontId="4" fillId="0" borderId="31" xfId="2" applyBorder="1" applyProtection="1">
      <protection hidden="1"/>
    </xf>
    <xf numFmtId="0" fontId="4" fillId="0" borderId="30" xfId="2" applyBorder="1" applyProtection="1">
      <protection hidden="1"/>
    </xf>
    <xf numFmtId="169" fontId="6" fillId="0" borderId="0" xfId="2" applyNumberFormat="1" applyFont="1" applyAlignment="1" applyProtection="1">
      <alignment horizontal="center"/>
      <protection hidden="1"/>
    </xf>
    <xf numFmtId="0" fontId="19" fillId="0" borderId="67" xfId="2" applyFont="1" applyBorder="1" applyProtection="1">
      <protection hidden="1"/>
    </xf>
    <xf numFmtId="0" fontId="19" fillId="0" borderId="67" xfId="2" applyFont="1" applyBorder="1" applyAlignment="1" applyProtection="1">
      <alignment horizontal="center"/>
      <protection hidden="1"/>
    </xf>
    <xf numFmtId="174" fontId="4" fillId="0" borderId="0" xfId="2" applyNumberFormat="1" applyAlignment="1" applyProtection="1">
      <alignment horizontal="center"/>
      <protection hidden="1"/>
    </xf>
    <xf numFmtId="169" fontId="7" fillId="0" borderId="0" xfId="2" applyNumberFormat="1" applyFont="1" applyAlignment="1" applyProtection="1">
      <alignment horizontal="left"/>
      <protection hidden="1"/>
    </xf>
    <xf numFmtId="169" fontId="7" fillId="0" borderId="0" xfId="2" applyNumberFormat="1" applyFont="1" applyAlignment="1" applyProtection="1">
      <alignment horizontal="center"/>
      <protection hidden="1"/>
    </xf>
    <xf numFmtId="0" fontId="20" fillId="0" borderId="0" xfId="2" applyFont="1" applyProtection="1">
      <protection hidden="1"/>
    </xf>
    <xf numFmtId="167" fontId="4" fillId="0" borderId="0" xfId="2" applyNumberFormat="1" applyAlignment="1" applyProtection="1">
      <alignment horizontal="center"/>
      <protection hidden="1"/>
    </xf>
    <xf numFmtId="0" fontId="22" fillId="0" borderId="0" xfId="2" applyFont="1" applyAlignment="1" applyProtection="1">
      <alignment horizontal="right"/>
      <protection hidden="1"/>
    </xf>
    <xf numFmtId="0" fontId="41" fillId="0" borderId="0" xfId="0" applyFont="1" applyProtection="1">
      <protection hidden="1"/>
    </xf>
    <xf numFmtId="0" fontId="41" fillId="0" borderId="0" xfId="0" applyFont="1" applyAlignment="1" applyProtection="1">
      <alignment horizontal="right"/>
      <protection hidden="1"/>
    </xf>
    <xf numFmtId="0" fontId="42" fillId="0" borderId="0" xfId="0" applyFont="1" applyAlignment="1" applyProtection="1">
      <alignment horizontal="right"/>
      <protection hidden="1"/>
    </xf>
    <xf numFmtId="0" fontId="41" fillId="0" borderId="0" xfId="0" applyFont="1" applyAlignment="1" applyProtection="1">
      <alignment horizontal="center"/>
      <protection hidden="1"/>
    </xf>
    <xf numFmtId="0" fontId="43" fillId="0" borderId="0" xfId="0" applyFont="1" applyProtection="1">
      <protection hidden="1"/>
    </xf>
    <xf numFmtId="0" fontId="44" fillId="0" borderId="0" xfId="0" applyFont="1" applyProtection="1">
      <protection hidden="1"/>
    </xf>
    <xf numFmtId="2" fontId="41" fillId="0" borderId="0" xfId="0" applyNumberFormat="1" applyFont="1" applyAlignment="1" applyProtection="1">
      <alignment horizontal="center"/>
      <protection hidden="1"/>
    </xf>
    <xf numFmtId="2" fontId="4" fillId="0" borderId="0" xfId="2" applyNumberFormat="1" applyAlignment="1" applyProtection="1">
      <alignment horizontal="right"/>
      <protection locked="0"/>
    </xf>
    <xf numFmtId="0" fontId="0" fillId="0" borderId="72" xfId="0" quotePrefix="1" applyBorder="1" applyAlignment="1" applyProtection="1">
      <alignment horizontal="center"/>
      <protection hidden="1"/>
    </xf>
    <xf numFmtId="14" fontId="0" fillId="0" borderId="72" xfId="0" applyNumberFormat="1" applyBorder="1" applyProtection="1">
      <protection hidden="1"/>
    </xf>
    <xf numFmtId="176" fontId="0" fillId="6" borderId="72" xfId="0" applyNumberFormat="1" applyFill="1" applyBorder="1" applyProtection="1">
      <protection hidden="1"/>
    </xf>
    <xf numFmtId="0" fontId="37" fillId="0" borderId="0" xfId="0" applyFont="1"/>
    <xf numFmtId="0" fontId="7" fillId="0" borderId="0" xfId="0" applyFont="1"/>
    <xf numFmtId="0" fontId="7"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72" xfId="0" applyFont="1" applyFill="1" applyBorder="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4" borderId="72" xfId="0" applyFill="1" applyBorder="1" applyAlignment="1">
      <alignment horizontal="center" vertical="center" wrapText="1"/>
    </xf>
    <xf numFmtId="171" fontId="11" fillId="0" borderId="11" xfId="1" applyNumberFormat="1" applyFont="1" applyBorder="1" applyAlignment="1">
      <alignment horizontal="right"/>
    </xf>
    <xf numFmtId="171" fontId="11" fillId="0" borderId="13" xfId="1" applyNumberFormat="1" applyFont="1" applyBorder="1" applyAlignment="1">
      <alignment horizontal="right"/>
    </xf>
    <xf numFmtId="171" fontId="10" fillId="0" borderId="13" xfId="1" applyNumberFormat="1" applyFont="1" applyBorder="1" applyAlignment="1">
      <alignment horizontal="right"/>
    </xf>
    <xf numFmtId="171" fontId="0" fillId="0" borderId="34" xfId="0" applyNumberFormat="1" applyBorder="1"/>
    <xf numFmtId="171" fontId="0" fillId="0" borderId="0" xfId="0" applyNumberFormat="1"/>
    <xf numFmtId="0" fontId="0" fillId="7" borderId="1" xfId="0" applyFill="1" applyBorder="1" applyAlignment="1">
      <alignment horizontal="center" vertical="center" wrapText="1"/>
    </xf>
    <xf numFmtId="171" fontId="11" fillId="0" borderId="34" xfId="1" applyNumberFormat="1" applyFont="1" applyBorder="1" applyAlignment="1">
      <alignment horizontal="right"/>
    </xf>
    <xf numFmtId="171" fontId="11" fillId="0" borderId="83" xfId="1" applyNumberFormat="1" applyFont="1" applyBorder="1" applyAlignment="1">
      <alignment horizontal="right"/>
    </xf>
    <xf numFmtId="171" fontId="10" fillId="0" borderId="35" xfId="1" applyNumberFormat="1" applyFont="1" applyBorder="1" applyAlignment="1">
      <alignment horizontal="right"/>
    </xf>
    <xf numFmtId="0" fontId="0" fillId="0" borderId="34" xfId="0" applyBorder="1"/>
    <xf numFmtId="0" fontId="0" fillId="0" borderId="83" xfId="0" applyBorder="1"/>
    <xf numFmtId="0" fontId="0" fillId="0" borderId="35" xfId="0" applyBorder="1"/>
    <xf numFmtId="0" fontId="3" fillId="0" borderId="0" xfId="0" applyFont="1" applyProtection="1">
      <protection hidden="1"/>
    </xf>
    <xf numFmtId="0" fontId="39" fillId="0" borderId="0" xfId="0" applyFont="1" applyAlignment="1" applyProtection="1">
      <alignment horizontal="right"/>
      <protection hidden="1"/>
    </xf>
    <xf numFmtId="2" fontId="39" fillId="0" borderId="0" xfId="0" applyNumberFormat="1" applyFont="1" applyAlignment="1" applyProtection="1">
      <alignment horizontal="center"/>
      <protection hidden="1"/>
    </xf>
    <xf numFmtId="0" fontId="39" fillId="0" borderId="0" xfId="0" applyFont="1" applyProtection="1">
      <protection hidden="1"/>
    </xf>
    <xf numFmtId="0" fontId="45" fillId="0" borderId="0" xfId="0" applyFont="1" applyAlignment="1" applyProtection="1">
      <alignment horizontal="left"/>
      <protection hidden="1"/>
    </xf>
    <xf numFmtId="0" fontId="39" fillId="0" borderId="0" xfId="0" applyFont="1" applyAlignment="1" applyProtection="1">
      <alignment horizontal="center"/>
      <protection locked="0"/>
    </xf>
    <xf numFmtId="0" fontId="0" fillId="0" borderId="0" xfId="0" quotePrefix="1" applyProtection="1">
      <protection hidden="1"/>
    </xf>
    <xf numFmtId="0" fontId="4" fillId="0" borderId="0" xfId="2" quotePrefix="1" applyAlignment="1" applyProtection="1">
      <alignment horizontal="right"/>
      <protection hidden="1"/>
    </xf>
    <xf numFmtId="0" fontId="46" fillId="0" borderId="0" xfId="2" applyFont="1" applyProtection="1">
      <protection hidden="1"/>
    </xf>
    <xf numFmtId="0" fontId="0" fillId="8" borderId="72" xfId="0" applyFill="1" applyBorder="1" applyAlignment="1" applyProtection="1">
      <alignment horizontal="center"/>
      <protection locked="0"/>
    </xf>
    <xf numFmtId="0" fontId="0" fillId="8" borderId="0" xfId="0" applyFill="1" applyAlignment="1" applyProtection="1">
      <alignment horizontal="center"/>
      <protection locked="0" hidden="1"/>
    </xf>
    <xf numFmtId="14" fontId="0" fillId="8" borderId="72" xfId="0" applyNumberFormat="1" applyFill="1" applyBorder="1" applyProtection="1">
      <protection locked="0"/>
    </xf>
    <xf numFmtId="176" fontId="0" fillId="8" borderId="72" xfId="0" applyNumberFormat="1" applyFill="1" applyBorder="1" applyProtection="1">
      <protection locked="0"/>
    </xf>
    <xf numFmtId="176" fontId="0" fillId="8" borderId="72" xfId="0" applyNumberFormat="1" applyFill="1" applyBorder="1" applyProtection="1">
      <protection hidden="1"/>
    </xf>
    <xf numFmtId="0" fontId="3" fillId="0" borderId="0" xfId="0" applyFont="1" applyAlignment="1" applyProtection="1">
      <alignment horizontal="center"/>
      <protection hidden="1"/>
    </xf>
    <xf numFmtId="0" fontId="0" fillId="8" borderId="72" xfId="0" applyFill="1" applyBorder="1" applyProtection="1">
      <protection locked="0"/>
    </xf>
    <xf numFmtId="44" fontId="0" fillId="8" borderId="72" xfId="3" applyFont="1" applyFill="1" applyBorder="1" applyProtection="1">
      <protection locked="0"/>
    </xf>
    <xf numFmtId="2" fontId="30" fillId="8" borderId="90" xfId="0" applyNumberFormat="1" applyFont="1" applyFill="1" applyBorder="1" applyProtection="1">
      <protection locked="0"/>
    </xf>
    <xf numFmtId="2" fontId="30" fillId="8" borderId="91" xfId="0" applyNumberFormat="1" applyFont="1" applyFill="1" applyBorder="1" applyProtection="1">
      <protection locked="0"/>
    </xf>
    <xf numFmtId="2" fontId="30" fillId="8" borderId="92" xfId="0" applyNumberFormat="1" applyFont="1" applyFill="1" applyBorder="1" applyProtection="1">
      <protection locked="0"/>
    </xf>
    <xf numFmtId="2" fontId="30" fillId="8" borderId="93" xfId="0" applyNumberFormat="1" applyFont="1" applyFill="1" applyBorder="1" applyProtection="1">
      <protection locked="0"/>
    </xf>
    <xf numFmtId="2" fontId="30" fillId="8" borderId="94" xfId="0" applyNumberFormat="1" applyFont="1" applyFill="1" applyBorder="1" applyProtection="1">
      <protection locked="0"/>
    </xf>
    <xf numFmtId="0" fontId="41" fillId="10" borderId="0" xfId="0" applyFont="1" applyFill="1" applyAlignment="1" applyProtection="1">
      <alignment horizontal="center"/>
      <protection locked="0"/>
    </xf>
    <xf numFmtId="171" fontId="11" fillId="8" borderId="13" xfId="1" applyNumberFormat="1" applyFont="1" applyFill="1" applyBorder="1" applyAlignment="1" applyProtection="1">
      <alignment horizontal="right"/>
      <protection locked="0"/>
    </xf>
    <xf numFmtId="171" fontId="11" fillId="8" borderId="83" xfId="1" applyNumberFormat="1" applyFont="1" applyFill="1" applyBorder="1" applyAlignment="1" applyProtection="1">
      <alignment horizontal="right"/>
      <protection locked="0"/>
    </xf>
    <xf numFmtId="171" fontId="10" fillId="8" borderId="83" xfId="1" applyNumberFormat="1" applyFont="1" applyFill="1" applyBorder="1" applyAlignment="1" applyProtection="1">
      <alignment horizontal="right"/>
      <protection locked="0"/>
    </xf>
    <xf numFmtId="0" fontId="26" fillId="0" borderId="0" xfId="0" applyFont="1" applyProtection="1">
      <protection hidden="1"/>
    </xf>
    <xf numFmtId="0" fontId="0" fillId="8" borderId="72" xfId="0" applyFill="1" applyBorder="1" applyAlignment="1" applyProtection="1">
      <alignment horizontal="center"/>
      <protection hidden="1"/>
    </xf>
    <xf numFmtId="0" fontId="0" fillId="8" borderId="0" xfId="0" applyFill="1" applyAlignment="1" applyProtection="1">
      <alignment horizontal="center"/>
      <protection hidden="1"/>
    </xf>
    <xf numFmtId="9" fontId="4" fillId="0" borderId="0" xfId="1" applyFont="1" applyFill="1" applyBorder="1" applyAlignment="1" applyProtection="1">
      <protection hidden="1"/>
    </xf>
    <xf numFmtId="14" fontId="0" fillId="8" borderId="72" xfId="0" applyNumberFormat="1" applyFill="1" applyBorder="1" applyProtection="1">
      <protection hidden="1"/>
    </xf>
    <xf numFmtId="0" fontId="1" fillId="3" borderId="0" xfId="0" applyFont="1" applyFill="1" applyProtection="1">
      <protection hidden="1"/>
    </xf>
    <xf numFmtId="0" fontId="40" fillId="0" borderId="0" xfId="2" applyFont="1" applyAlignment="1" applyProtection="1">
      <alignment horizontal="right"/>
      <protection hidden="1"/>
    </xf>
    <xf numFmtId="164" fontId="38" fillId="0" borderId="0" xfId="0" applyNumberFormat="1" applyFont="1" applyAlignment="1" applyProtection="1">
      <alignment horizontal="center" vertical="center"/>
      <protection hidden="1"/>
    </xf>
    <xf numFmtId="0" fontId="26" fillId="0" borderId="0" xfId="0" applyFont="1" applyAlignment="1" applyProtection="1">
      <alignment horizontal="center"/>
      <protection hidden="1"/>
    </xf>
    <xf numFmtId="0" fontId="0" fillId="8" borderId="72" xfId="0" applyFill="1" applyBorder="1" applyProtection="1">
      <protection hidden="1"/>
    </xf>
    <xf numFmtId="164" fontId="0" fillId="0" borderId="0" xfId="0" applyNumberFormat="1" applyProtection="1">
      <protection hidden="1"/>
    </xf>
    <xf numFmtId="44" fontId="0" fillId="8" borderId="72" xfId="3" applyFont="1" applyFill="1" applyBorder="1" applyProtection="1">
      <protection hidden="1"/>
    </xf>
    <xf numFmtId="0" fontId="15" fillId="0" borderId="12" xfId="2" applyFont="1" applyBorder="1" applyAlignment="1" applyProtection="1">
      <alignment horizontal="left"/>
      <protection hidden="1"/>
    </xf>
    <xf numFmtId="0" fontId="15" fillId="0" borderId="0" xfId="2" applyFont="1" applyAlignment="1" applyProtection="1">
      <alignment horizontal="left"/>
      <protection hidden="1"/>
    </xf>
    <xf numFmtId="0" fontId="16" fillId="0" borderId="12" xfId="2" applyFont="1" applyBorder="1" applyAlignment="1" applyProtection="1">
      <alignment horizontal="left"/>
      <protection hidden="1"/>
    </xf>
    <xf numFmtId="0" fontId="16" fillId="0" borderId="0" xfId="2" applyFont="1" applyAlignment="1" applyProtection="1">
      <alignment horizontal="left"/>
      <protection hidden="1"/>
    </xf>
    <xf numFmtId="0" fontId="0" fillId="8" borderId="83" xfId="0" applyFill="1" applyBorder="1" applyProtection="1">
      <protection locked="0"/>
    </xf>
    <xf numFmtId="0" fontId="48" fillId="0" borderId="0" xfId="0" applyFont="1" applyAlignment="1" applyProtection="1">
      <alignment horizontal="center" vertical="center"/>
      <protection hidden="1"/>
    </xf>
    <xf numFmtId="0" fontId="4" fillId="0" borderId="12" xfId="2" applyBorder="1" applyProtection="1">
      <protection hidden="1"/>
    </xf>
    <xf numFmtId="0" fontId="4" fillId="0" borderId="101" xfId="2" applyBorder="1" applyProtection="1">
      <protection hidden="1"/>
    </xf>
    <xf numFmtId="14" fontId="3" fillId="0" borderId="0" xfId="0" applyNumberFormat="1" applyFont="1"/>
    <xf numFmtId="10" fontId="3" fillId="0" borderId="0" xfId="1" applyNumberFormat="1" applyFont="1" applyFill="1" applyBorder="1" applyProtection="1"/>
    <xf numFmtId="0" fontId="49" fillId="0" borderId="0" xfId="2" applyFont="1" applyAlignment="1" applyProtection="1">
      <alignment horizontal="left"/>
      <protection hidden="1"/>
    </xf>
    <xf numFmtId="0" fontId="50" fillId="0" borderId="0" xfId="2" applyFont="1" applyProtection="1">
      <protection hidden="1"/>
    </xf>
    <xf numFmtId="0" fontId="47" fillId="0" borderId="0" xfId="2" applyFont="1" applyProtection="1">
      <protection hidden="1"/>
    </xf>
    <xf numFmtId="0" fontId="50" fillId="0" borderId="0" xfId="2" applyFont="1" applyAlignment="1" applyProtection="1">
      <alignment horizontal="left"/>
      <protection hidden="1"/>
    </xf>
    <xf numFmtId="0" fontId="50" fillId="0" borderId="0" xfId="2" applyFont="1" applyAlignment="1" applyProtection="1">
      <alignment horizontal="center"/>
      <protection hidden="1"/>
    </xf>
    <xf numFmtId="0" fontId="51" fillId="0" borderId="0" xfId="0" applyFont="1"/>
    <xf numFmtId="14" fontId="51" fillId="8" borderId="72" xfId="0" applyNumberFormat="1" applyFont="1" applyFill="1" applyBorder="1"/>
    <xf numFmtId="0" fontId="51" fillId="8" borderId="72" xfId="0" applyFont="1" applyFill="1" applyBorder="1"/>
    <xf numFmtId="14" fontId="51" fillId="8" borderId="72" xfId="0" applyNumberFormat="1" applyFont="1" applyFill="1" applyBorder="1" applyProtection="1">
      <protection hidden="1"/>
    </xf>
    <xf numFmtId="0" fontId="51" fillId="8" borderId="72" xfId="0" applyFont="1" applyFill="1" applyBorder="1" applyProtection="1">
      <protection hidden="1"/>
    </xf>
    <xf numFmtId="0" fontId="51" fillId="0" borderId="0" xfId="0" applyFont="1" applyProtection="1">
      <protection hidden="1"/>
    </xf>
    <xf numFmtId="14" fontId="3" fillId="0" borderId="0" xfId="0" applyNumberFormat="1" applyFont="1" applyProtection="1">
      <protection hidden="1"/>
    </xf>
    <xf numFmtId="10" fontId="3" fillId="0" borderId="0" xfId="1" applyNumberFormat="1" applyFont="1" applyFill="1" applyBorder="1" applyProtection="1">
      <protection hidden="1"/>
    </xf>
    <xf numFmtId="0" fontId="0" fillId="0" borderId="0" xfId="0" applyAlignment="1" applyProtection="1">
      <alignment horizontal="left"/>
      <protection hidden="1"/>
    </xf>
    <xf numFmtId="169" fontId="11" fillId="0" borderId="48" xfId="2" applyNumberFormat="1" applyFont="1" applyBorder="1" applyAlignment="1" applyProtection="1">
      <alignment horizontal="right"/>
      <protection hidden="1"/>
    </xf>
    <xf numFmtId="169" fontId="11" fillId="0" borderId="33" xfId="2" applyNumberFormat="1" applyFont="1" applyBorder="1" applyAlignment="1" applyProtection="1">
      <alignment horizontal="right"/>
      <protection hidden="1"/>
    </xf>
    <xf numFmtId="169" fontId="11" fillId="0" borderId="49" xfId="2" applyNumberFormat="1" applyFont="1" applyBorder="1" applyAlignment="1" applyProtection="1">
      <alignment horizontal="right"/>
      <protection hidden="1"/>
    </xf>
    <xf numFmtId="171" fontId="11" fillId="0" borderId="48" xfId="1" applyNumberFormat="1" applyFont="1" applyBorder="1" applyAlignment="1" applyProtection="1">
      <alignment horizontal="right"/>
      <protection hidden="1"/>
    </xf>
    <xf numFmtId="171" fontId="11" fillId="0" borderId="33" xfId="1" applyNumberFormat="1" applyFont="1" applyBorder="1" applyAlignment="1" applyProtection="1">
      <alignment horizontal="right"/>
      <protection hidden="1"/>
    </xf>
    <xf numFmtId="171" fontId="11" fillId="0" borderId="49" xfId="1" applyNumberFormat="1" applyFont="1" applyBorder="1" applyAlignment="1" applyProtection="1">
      <alignment horizontal="right"/>
      <protection hidden="1"/>
    </xf>
    <xf numFmtId="169" fontId="10" fillId="0" borderId="48" xfId="2" applyNumberFormat="1" applyFont="1" applyBorder="1" applyAlignment="1" applyProtection="1">
      <alignment horizontal="right"/>
      <protection hidden="1"/>
    </xf>
    <xf numFmtId="169" fontId="10" fillId="0" borderId="33" xfId="2" applyNumberFormat="1" applyFont="1" applyBorder="1" applyAlignment="1" applyProtection="1">
      <alignment horizontal="right"/>
      <protection hidden="1"/>
    </xf>
    <xf numFmtId="169" fontId="10" fillId="0" borderId="49" xfId="2" applyNumberFormat="1" applyFont="1" applyBorder="1" applyAlignment="1" applyProtection="1">
      <alignment horizontal="right"/>
      <protection hidden="1"/>
    </xf>
    <xf numFmtId="169" fontId="11" fillId="0" borderId="48" xfId="2" applyNumberFormat="1" applyFont="1" applyBorder="1" applyProtection="1">
      <protection hidden="1"/>
    </xf>
    <xf numFmtId="169" fontId="11" fillId="0" borderId="33" xfId="2" applyNumberFormat="1" applyFont="1" applyBorder="1" applyProtection="1">
      <protection hidden="1"/>
    </xf>
    <xf numFmtId="169" fontId="11" fillId="0" borderId="49" xfId="2" applyNumberFormat="1" applyFont="1" applyBorder="1" applyProtection="1">
      <protection hidden="1"/>
    </xf>
    <xf numFmtId="171" fontId="11" fillId="0" borderId="48" xfId="1" applyNumberFormat="1" applyFont="1" applyBorder="1" applyAlignment="1" applyProtection="1">
      <protection hidden="1"/>
    </xf>
    <xf numFmtId="171" fontId="11" fillId="0" borderId="33" xfId="1" applyNumberFormat="1" applyFont="1" applyBorder="1" applyAlignment="1" applyProtection="1">
      <protection hidden="1"/>
    </xf>
    <xf numFmtId="171" fontId="11" fillId="0" borderId="49" xfId="1" applyNumberFormat="1" applyFont="1" applyBorder="1" applyAlignment="1" applyProtection="1">
      <protection hidden="1"/>
    </xf>
    <xf numFmtId="169" fontId="10" fillId="0" borderId="98" xfId="2" applyNumberFormat="1" applyFont="1" applyBorder="1" applyProtection="1">
      <protection hidden="1"/>
    </xf>
    <xf numFmtId="169" fontId="10" fillId="0" borderId="33" xfId="2" applyNumberFormat="1" applyFont="1" applyBorder="1" applyProtection="1">
      <protection hidden="1"/>
    </xf>
    <xf numFmtId="0" fontId="4" fillId="0" borderId="12" xfId="2" applyBorder="1" applyAlignment="1" applyProtection="1">
      <alignment horizontal="left"/>
      <protection hidden="1"/>
    </xf>
    <xf numFmtId="0" fontId="0" fillId="0" borderId="13" xfId="0" applyBorder="1" applyAlignment="1" applyProtection="1">
      <alignment horizontal="left"/>
      <protection hidden="1"/>
    </xf>
    <xf numFmtId="0" fontId="4" fillId="0" borderId="1" xfId="2" applyBorder="1" applyAlignment="1" applyProtection="1">
      <alignment horizontal="left"/>
      <protection hidden="1"/>
    </xf>
    <xf numFmtId="0" fontId="4" fillId="0" borderId="2" xfId="2" applyBorder="1" applyAlignment="1" applyProtection="1">
      <alignment horizontal="left"/>
      <protection hidden="1"/>
    </xf>
    <xf numFmtId="0" fontId="4" fillId="0" borderId="3" xfId="2" applyBorder="1" applyAlignment="1" applyProtection="1">
      <alignment horizontal="left"/>
      <protection hidden="1"/>
    </xf>
    <xf numFmtId="174" fontId="10" fillId="9" borderId="1" xfId="2" applyNumberFormat="1" applyFont="1" applyFill="1" applyBorder="1" applyAlignment="1" applyProtection="1">
      <alignment horizontal="center"/>
      <protection locked="0"/>
    </xf>
    <xf numFmtId="174" fontId="10" fillId="9" borderId="2" xfId="2" applyNumberFormat="1" applyFont="1" applyFill="1" applyBorder="1" applyAlignment="1" applyProtection="1">
      <alignment horizontal="center"/>
      <protection locked="0"/>
    </xf>
    <xf numFmtId="174" fontId="10" fillId="9" borderId="3" xfId="2" applyNumberFormat="1" applyFont="1" applyFill="1" applyBorder="1" applyAlignment="1" applyProtection="1">
      <alignment horizontal="center"/>
      <protection locked="0"/>
    </xf>
    <xf numFmtId="174" fontId="10" fillId="0" borderId="1" xfId="2" applyNumberFormat="1" applyFont="1" applyBorder="1" applyAlignment="1" applyProtection="1">
      <alignment horizontal="center"/>
      <protection hidden="1"/>
    </xf>
    <xf numFmtId="174" fontId="10" fillId="0" borderId="2" xfId="2" applyNumberFormat="1" applyFont="1" applyBorder="1" applyAlignment="1" applyProtection="1">
      <alignment horizontal="center"/>
      <protection hidden="1"/>
    </xf>
    <xf numFmtId="174" fontId="10" fillId="0" borderId="3" xfId="2" applyNumberFormat="1" applyFont="1" applyBorder="1" applyAlignment="1" applyProtection="1">
      <alignment horizontal="center"/>
      <protection hidden="1"/>
    </xf>
    <xf numFmtId="0" fontId="4" fillId="0" borderId="0" xfId="2" applyAlignment="1" applyProtection="1">
      <alignment horizontal="right"/>
      <protection hidden="1"/>
    </xf>
    <xf numFmtId="0" fontId="4" fillId="0" borderId="100" xfId="2" applyBorder="1" applyAlignment="1" applyProtection="1">
      <alignment horizontal="right"/>
      <protection hidden="1"/>
    </xf>
    <xf numFmtId="0" fontId="28" fillId="0" borderId="0" xfId="2" quotePrefix="1" applyFont="1" applyAlignment="1" applyProtection="1">
      <alignment horizontal="left"/>
      <protection hidden="1"/>
    </xf>
    <xf numFmtId="169" fontId="14" fillId="0" borderId="1" xfId="2" applyNumberFormat="1" applyFont="1" applyBorder="1" applyAlignment="1" applyProtection="1">
      <alignment horizontal="right"/>
      <protection hidden="1"/>
    </xf>
    <xf numFmtId="169" fontId="14" fillId="0" borderId="2" xfId="2" applyNumberFormat="1" applyFont="1" applyBorder="1" applyAlignment="1" applyProtection="1">
      <alignment horizontal="right"/>
      <protection hidden="1"/>
    </xf>
    <xf numFmtId="169" fontId="14" fillId="0" borderId="3" xfId="2" applyNumberFormat="1" applyFont="1" applyBorder="1" applyAlignment="1" applyProtection="1">
      <alignment horizontal="right"/>
      <protection hidden="1"/>
    </xf>
    <xf numFmtId="174" fontId="10" fillId="9" borderId="18" xfId="2" applyNumberFormat="1" applyFont="1" applyFill="1" applyBorder="1" applyAlignment="1" applyProtection="1">
      <alignment horizontal="center"/>
      <protection locked="0"/>
    </xf>
    <xf numFmtId="174" fontId="10" fillId="9" borderId="19" xfId="2" applyNumberFormat="1" applyFont="1" applyFill="1" applyBorder="1" applyAlignment="1" applyProtection="1">
      <alignment horizontal="center"/>
      <protection locked="0"/>
    </xf>
    <xf numFmtId="174" fontId="10" fillId="9" borderId="20" xfId="2" applyNumberFormat="1" applyFont="1" applyFill="1" applyBorder="1" applyAlignment="1" applyProtection="1">
      <alignment horizontal="center"/>
      <protection locked="0"/>
    </xf>
    <xf numFmtId="174" fontId="29" fillId="0" borderId="1" xfId="2" applyNumberFormat="1" applyFont="1" applyBorder="1" applyAlignment="1" applyProtection="1">
      <alignment horizontal="center"/>
      <protection hidden="1"/>
    </xf>
    <xf numFmtId="174" fontId="29" fillId="0" borderId="2" xfId="2" applyNumberFormat="1" applyFont="1" applyBorder="1" applyAlignment="1" applyProtection="1">
      <alignment horizontal="center"/>
      <protection hidden="1"/>
    </xf>
    <xf numFmtId="174" fontId="29" fillId="0" borderId="3" xfId="2" applyNumberFormat="1" applyFont="1" applyBorder="1" applyAlignment="1" applyProtection="1">
      <alignment horizontal="center"/>
      <protection hidden="1"/>
    </xf>
    <xf numFmtId="174" fontId="10" fillId="0" borderId="9" xfId="2" applyNumberFormat="1" applyFont="1" applyBorder="1" applyAlignment="1" applyProtection="1">
      <alignment horizontal="center"/>
      <protection hidden="1"/>
    </xf>
    <xf numFmtId="174" fontId="10" fillId="0" borderId="10" xfId="2" applyNumberFormat="1" applyFont="1" applyBorder="1" applyAlignment="1" applyProtection="1">
      <alignment horizontal="center"/>
      <protection hidden="1"/>
    </xf>
    <xf numFmtId="174" fontId="10" fillId="0" borderId="11" xfId="2" applyNumberFormat="1" applyFont="1" applyBorder="1" applyAlignment="1" applyProtection="1">
      <alignment horizontal="center"/>
      <protection hidden="1"/>
    </xf>
    <xf numFmtId="0" fontId="4" fillId="0" borderId="9" xfId="2" applyBorder="1" applyAlignment="1" applyProtection="1">
      <alignment horizontal="center" wrapText="1"/>
      <protection hidden="1"/>
    </xf>
    <xf numFmtId="0" fontId="4" fillId="0" borderId="10" xfId="2" applyBorder="1" applyAlignment="1" applyProtection="1">
      <alignment horizontal="center" wrapText="1"/>
      <protection hidden="1"/>
    </xf>
    <xf numFmtId="0" fontId="4" fillId="0" borderId="79" xfId="2" applyBorder="1" applyAlignment="1" applyProtection="1">
      <alignment horizontal="center" wrapText="1"/>
      <protection hidden="1"/>
    </xf>
    <xf numFmtId="0" fontId="4" fillId="0" borderId="18" xfId="2" applyBorder="1" applyAlignment="1" applyProtection="1">
      <alignment horizontal="center" wrapText="1"/>
      <protection hidden="1"/>
    </xf>
    <xf numFmtId="0" fontId="4" fillId="0" borderId="19" xfId="2" applyBorder="1" applyAlignment="1" applyProtection="1">
      <alignment horizontal="center" wrapText="1"/>
      <protection hidden="1"/>
    </xf>
    <xf numFmtId="0" fontId="4" fillId="0" borderId="37" xfId="2" applyBorder="1" applyAlignment="1" applyProtection="1">
      <alignment horizontal="center" wrapText="1"/>
      <protection hidden="1"/>
    </xf>
    <xf numFmtId="0" fontId="4" fillId="0" borderId="80" xfId="2" applyBorder="1" applyAlignment="1" applyProtection="1">
      <alignment horizontal="center" vertical="center" wrapText="1"/>
      <protection hidden="1"/>
    </xf>
    <xf numFmtId="0" fontId="4" fillId="0" borderId="10" xfId="2" applyBorder="1" applyAlignment="1" applyProtection="1">
      <alignment horizontal="center" vertical="center" wrapText="1"/>
      <protection hidden="1"/>
    </xf>
    <xf numFmtId="0" fontId="4" fillId="0" borderId="11" xfId="2" applyBorder="1" applyAlignment="1" applyProtection="1">
      <alignment horizontal="center" vertical="center" wrapText="1"/>
      <protection hidden="1"/>
    </xf>
    <xf numFmtId="0" fontId="4" fillId="0" borderId="38" xfId="2" applyBorder="1" applyAlignment="1" applyProtection="1">
      <alignment horizontal="center" vertical="center" wrapText="1"/>
      <protection hidden="1"/>
    </xf>
    <xf numFmtId="0" fontId="4" fillId="0" borderId="19" xfId="2" applyBorder="1" applyAlignment="1" applyProtection="1">
      <alignment horizontal="center" vertical="center" wrapText="1"/>
      <protection hidden="1"/>
    </xf>
    <xf numFmtId="0" fontId="4" fillId="0" borderId="20" xfId="2" applyBorder="1" applyAlignment="1" applyProtection="1">
      <alignment horizontal="center" vertical="center" wrapText="1"/>
      <protection hidden="1"/>
    </xf>
    <xf numFmtId="174" fontId="10" fillId="9" borderId="12" xfId="2" applyNumberFormat="1" applyFont="1" applyFill="1" applyBorder="1" applyAlignment="1" applyProtection="1">
      <alignment horizontal="center"/>
      <protection locked="0"/>
    </xf>
    <xf numFmtId="174" fontId="10" fillId="9" borderId="0" xfId="2" applyNumberFormat="1" applyFont="1" applyFill="1" applyAlignment="1" applyProtection="1">
      <alignment horizontal="center"/>
      <protection locked="0"/>
    </xf>
    <xf numFmtId="174" fontId="10" fillId="9" borderId="101" xfId="2" applyNumberFormat="1" applyFont="1" applyFill="1" applyBorder="1" applyAlignment="1" applyProtection="1">
      <alignment horizontal="center"/>
      <protection locked="0"/>
    </xf>
    <xf numFmtId="0" fontId="21" fillId="0" borderId="12" xfId="2" applyFont="1" applyBorder="1" applyAlignment="1" applyProtection="1">
      <alignment horizontal="right" vertical="center"/>
      <protection hidden="1"/>
    </xf>
    <xf numFmtId="0" fontId="21" fillId="0" borderId="0" xfId="2" applyFont="1" applyAlignment="1" applyProtection="1">
      <alignment horizontal="right" vertical="center"/>
      <protection hidden="1"/>
    </xf>
    <xf numFmtId="0" fontId="21" fillId="0" borderId="99" xfId="2" applyFont="1" applyBorder="1" applyAlignment="1" applyProtection="1">
      <alignment horizontal="right" vertical="center"/>
      <protection hidden="1"/>
    </xf>
    <xf numFmtId="0" fontId="4" fillId="0" borderId="12" xfId="2" applyBorder="1" applyAlignment="1" applyProtection="1">
      <alignment horizontal="right" vertical="center"/>
      <protection hidden="1"/>
    </xf>
    <xf numFmtId="0" fontId="4" fillId="0" borderId="0" xfId="2" applyAlignment="1" applyProtection="1">
      <alignment horizontal="right" vertical="center"/>
      <protection hidden="1"/>
    </xf>
    <xf numFmtId="0" fontId="4" fillId="0" borderId="99" xfId="2" applyBorder="1" applyAlignment="1" applyProtection="1">
      <alignment horizontal="right" vertical="center"/>
      <protection hidden="1"/>
    </xf>
    <xf numFmtId="0" fontId="10" fillId="0" borderId="18" xfId="2" applyFont="1" applyBorder="1" applyAlignment="1" applyProtection="1">
      <alignment horizontal="left"/>
      <protection hidden="1"/>
    </xf>
    <xf numFmtId="0" fontId="10" fillId="0" borderId="19" xfId="2" applyFont="1" applyBorder="1" applyAlignment="1" applyProtection="1">
      <alignment horizontal="left"/>
      <protection hidden="1"/>
    </xf>
    <xf numFmtId="169" fontId="10" fillId="0" borderId="53" xfId="2" applyNumberFormat="1" applyFont="1" applyBorder="1" applyAlignment="1" applyProtection="1">
      <alignment horizontal="right"/>
      <protection hidden="1"/>
    </xf>
    <xf numFmtId="169" fontId="10" fillId="0" borderId="54" xfId="2" applyNumberFormat="1" applyFont="1" applyBorder="1" applyAlignment="1" applyProtection="1">
      <alignment horizontal="right"/>
      <protection hidden="1"/>
    </xf>
    <xf numFmtId="169" fontId="10" fillId="0" borderId="55" xfId="2" applyNumberFormat="1" applyFont="1" applyBorder="1" applyAlignment="1" applyProtection="1">
      <alignment horizontal="right"/>
      <protection hidden="1"/>
    </xf>
    <xf numFmtId="171" fontId="11" fillId="0" borderId="53" xfId="1" applyNumberFormat="1" applyFont="1" applyBorder="1" applyAlignment="1" applyProtection="1">
      <alignment horizontal="right"/>
      <protection hidden="1"/>
    </xf>
    <xf numFmtId="171" fontId="11" fillId="0" borderId="54" xfId="1" applyNumberFormat="1" applyFont="1" applyBorder="1" applyAlignment="1" applyProtection="1">
      <alignment horizontal="right"/>
      <protection hidden="1"/>
    </xf>
    <xf numFmtId="171" fontId="11" fillId="0" borderId="55" xfId="1" applyNumberFormat="1" applyFont="1" applyBorder="1" applyAlignment="1" applyProtection="1">
      <alignment horizontal="right"/>
      <protection hidden="1"/>
    </xf>
    <xf numFmtId="169" fontId="10" fillId="0" borderId="53" xfId="2" applyNumberFormat="1" applyFont="1" applyBorder="1" applyProtection="1">
      <protection hidden="1"/>
    </xf>
    <xf numFmtId="169" fontId="10" fillId="0" borderId="54" xfId="2" applyNumberFormat="1" applyFont="1" applyBorder="1" applyProtection="1">
      <protection hidden="1"/>
    </xf>
    <xf numFmtId="169" fontId="10" fillId="0" borderId="55" xfId="2" applyNumberFormat="1" applyFont="1" applyBorder="1" applyProtection="1">
      <protection hidden="1"/>
    </xf>
    <xf numFmtId="172" fontId="10" fillId="0" borderId="53" xfId="1" applyNumberFormat="1" applyFont="1" applyBorder="1" applyAlignment="1" applyProtection="1">
      <protection hidden="1"/>
    </xf>
    <xf numFmtId="172" fontId="10" fillId="0" borderId="54" xfId="1" applyNumberFormat="1" applyFont="1" applyBorder="1" applyAlignment="1" applyProtection="1">
      <protection hidden="1"/>
    </xf>
    <xf numFmtId="172" fontId="10" fillId="0" borderId="55" xfId="1" applyNumberFormat="1" applyFont="1" applyBorder="1" applyAlignment="1" applyProtection="1">
      <protection hidden="1"/>
    </xf>
    <xf numFmtId="169" fontId="14" fillId="0" borderId="4" xfId="2" applyNumberFormat="1" applyFont="1" applyBorder="1" applyAlignment="1" applyProtection="1">
      <alignment horizontal="right"/>
      <protection hidden="1"/>
    </xf>
    <xf numFmtId="169" fontId="14" fillId="0" borderId="5" xfId="2" applyNumberFormat="1" applyFont="1" applyBorder="1" applyAlignment="1" applyProtection="1">
      <alignment horizontal="right"/>
      <protection hidden="1"/>
    </xf>
    <xf numFmtId="169" fontId="14" fillId="0" borderId="21" xfId="2" applyNumberFormat="1" applyFont="1" applyBorder="1" applyAlignment="1" applyProtection="1">
      <alignment horizontal="right"/>
      <protection hidden="1"/>
    </xf>
    <xf numFmtId="169" fontId="10" fillId="8" borderId="33" xfId="2" applyNumberFormat="1" applyFont="1" applyFill="1" applyBorder="1" applyAlignment="1" applyProtection="1">
      <alignment horizontal="right"/>
      <protection locked="0"/>
    </xf>
    <xf numFmtId="0" fontId="18" fillId="0" borderId="60" xfId="2" applyFont="1" applyBorder="1" applyAlignment="1" applyProtection="1">
      <alignment horizontal="left"/>
      <protection hidden="1"/>
    </xf>
    <xf numFmtId="0" fontId="18" fillId="0" borderId="61" xfId="2" applyFont="1" applyBorder="1" applyAlignment="1" applyProtection="1">
      <alignment horizontal="left"/>
      <protection hidden="1"/>
    </xf>
    <xf numFmtId="0" fontId="18" fillId="0" borderId="62" xfId="2" applyFont="1" applyBorder="1" applyAlignment="1" applyProtection="1">
      <alignment horizontal="left"/>
      <protection hidden="1"/>
    </xf>
    <xf numFmtId="0" fontId="4" fillId="0" borderId="63" xfId="2" applyBorder="1" applyAlignment="1" applyProtection="1">
      <alignment horizontal="center"/>
      <protection hidden="1"/>
    </xf>
    <xf numFmtId="167" fontId="10" fillId="0" borderId="0" xfId="2" applyNumberFormat="1" applyFont="1" applyAlignment="1" applyProtection="1">
      <alignment horizontal="center"/>
      <protection hidden="1"/>
    </xf>
    <xf numFmtId="174" fontId="10" fillId="0" borderId="72" xfId="2" applyNumberFormat="1" applyFont="1" applyBorder="1" applyAlignment="1" applyProtection="1">
      <alignment horizontal="center"/>
      <protection hidden="1"/>
    </xf>
    <xf numFmtId="169" fontId="19" fillId="0" borderId="64" xfId="2" applyNumberFormat="1" applyFont="1" applyBorder="1" applyAlignment="1" applyProtection="1">
      <alignment horizontal="left"/>
      <protection hidden="1"/>
    </xf>
    <xf numFmtId="169" fontId="19" fillId="0" borderId="0" xfId="2" applyNumberFormat="1" applyFont="1" applyAlignment="1" applyProtection="1">
      <alignment horizontal="left"/>
      <protection hidden="1"/>
    </xf>
    <xf numFmtId="0" fontId="19" fillId="0" borderId="0" xfId="2" applyFont="1" applyAlignment="1" applyProtection="1">
      <alignment horizontal="left"/>
      <protection hidden="1"/>
    </xf>
    <xf numFmtId="0" fontId="19" fillId="0" borderId="65" xfId="2" applyFont="1" applyBorder="1" applyAlignment="1" applyProtection="1">
      <alignment horizontal="left"/>
      <protection hidden="1"/>
    </xf>
    <xf numFmtId="173" fontId="10" fillId="8" borderId="31" xfId="2" applyNumberFormat="1" applyFont="1" applyFill="1" applyBorder="1" applyAlignment="1" applyProtection="1">
      <alignment horizontal="right"/>
      <protection locked="0"/>
    </xf>
    <xf numFmtId="173" fontId="10" fillId="8" borderId="0" xfId="2" applyNumberFormat="1" applyFont="1" applyFill="1" applyAlignment="1" applyProtection="1">
      <alignment horizontal="right"/>
      <protection locked="0"/>
    </xf>
    <xf numFmtId="173" fontId="10" fillId="8" borderId="30" xfId="2" applyNumberFormat="1" applyFont="1" applyFill="1" applyBorder="1" applyAlignment="1" applyProtection="1">
      <alignment horizontal="right"/>
      <protection locked="0"/>
    </xf>
    <xf numFmtId="0" fontId="20" fillId="0" borderId="0" xfId="2" applyFont="1" applyAlignment="1" applyProtection="1">
      <alignment horizontal="right" vertical="center"/>
      <protection hidden="1"/>
    </xf>
    <xf numFmtId="169" fontId="29" fillId="0" borderId="1" xfId="2" applyNumberFormat="1" applyFont="1" applyBorder="1" applyAlignment="1" applyProtection="1">
      <alignment horizontal="right"/>
      <protection hidden="1"/>
    </xf>
    <xf numFmtId="169" fontId="29" fillId="0" borderId="2" xfId="2" applyNumberFormat="1" applyFont="1" applyBorder="1" applyAlignment="1" applyProtection="1">
      <alignment horizontal="right"/>
      <protection hidden="1"/>
    </xf>
    <xf numFmtId="169" fontId="29" fillId="0" borderId="3" xfId="2" applyNumberFormat="1" applyFont="1" applyBorder="1" applyAlignment="1" applyProtection="1">
      <alignment horizontal="right"/>
      <protection hidden="1"/>
    </xf>
    <xf numFmtId="0" fontId="10" fillId="0" borderId="0" xfId="2" applyFont="1" applyAlignment="1" applyProtection="1">
      <alignment horizontal="right"/>
      <protection hidden="1"/>
    </xf>
    <xf numFmtId="175" fontId="10" fillId="9" borderId="33" xfId="2" applyNumberFormat="1" applyFont="1" applyFill="1" applyBorder="1" applyAlignment="1" applyProtection="1">
      <alignment horizontal="right"/>
      <protection locked="0"/>
    </xf>
    <xf numFmtId="169" fontId="10" fillId="9" borderId="33" xfId="1" applyNumberFormat="1" applyFont="1" applyFill="1" applyBorder="1" applyAlignment="1" applyProtection="1">
      <alignment horizontal="right"/>
      <protection locked="0"/>
    </xf>
    <xf numFmtId="0" fontId="10" fillId="0" borderId="1" xfId="2" applyFont="1" applyBorder="1" applyAlignment="1" applyProtection="1">
      <alignment horizontal="right"/>
      <protection hidden="1"/>
    </xf>
    <xf numFmtId="0" fontId="10" fillId="0" borderId="2" xfId="2" applyFont="1" applyBorder="1" applyAlignment="1" applyProtection="1">
      <alignment horizontal="right"/>
      <protection hidden="1"/>
    </xf>
    <xf numFmtId="0" fontId="10" fillId="0" borderId="3" xfId="2" applyFont="1" applyBorder="1" applyAlignment="1" applyProtection="1">
      <alignment horizontal="right"/>
      <protection hidden="1"/>
    </xf>
    <xf numFmtId="172" fontId="4" fillId="0" borderId="33" xfId="1" applyNumberFormat="1" applyFont="1" applyFill="1" applyBorder="1" applyAlignment="1" applyProtection="1">
      <alignment horizontal="right"/>
      <protection hidden="1"/>
    </xf>
    <xf numFmtId="169" fontId="50" fillId="0" borderId="0" xfId="2" applyNumberFormat="1" applyFont="1" applyAlignment="1" applyProtection="1">
      <alignment horizontal="center"/>
      <protection hidden="1"/>
    </xf>
    <xf numFmtId="0" fontId="19" fillId="0" borderId="64" xfId="2" applyFont="1" applyBorder="1" applyAlignment="1" applyProtection="1">
      <alignment horizontal="left"/>
      <protection hidden="1"/>
    </xf>
    <xf numFmtId="173" fontId="10" fillId="8" borderId="14" xfId="2" applyNumberFormat="1" applyFont="1" applyFill="1" applyBorder="1" applyAlignment="1" applyProtection="1">
      <alignment horizontal="right"/>
      <protection locked="0"/>
    </xf>
    <xf numFmtId="173" fontId="10" fillId="8" borderId="15" xfId="2" applyNumberFormat="1" applyFont="1" applyFill="1" applyBorder="1" applyAlignment="1" applyProtection="1">
      <alignment horizontal="right"/>
      <protection locked="0"/>
    </xf>
    <xf numFmtId="173" fontId="10" fillId="8" borderId="25" xfId="2" applyNumberFormat="1" applyFont="1" applyFill="1" applyBorder="1" applyAlignment="1" applyProtection="1">
      <alignment horizontal="right"/>
      <protection locked="0"/>
    </xf>
    <xf numFmtId="169" fontId="10" fillId="8" borderId="14" xfId="1" applyNumberFormat="1" applyFont="1" applyFill="1" applyBorder="1" applyAlignment="1" applyProtection="1">
      <alignment horizontal="right"/>
      <protection locked="0"/>
    </xf>
    <xf numFmtId="169" fontId="10" fillId="8" borderId="15" xfId="1" applyNumberFormat="1" applyFont="1" applyFill="1" applyBorder="1" applyAlignment="1" applyProtection="1">
      <alignment horizontal="right"/>
      <protection locked="0"/>
    </xf>
    <xf numFmtId="169" fontId="10" fillId="8" borderId="25" xfId="1" applyNumberFormat="1" applyFont="1" applyFill="1" applyBorder="1" applyAlignment="1" applyProtection="1">
      <alignment horizontal="right"/>
      <protection locked="0"/>
    </xf>
    <xf numFmtId="169" fontId="10" fillId="0" borderId="43" xfId="2" applyNumberFormat="1" applyFont="1" applyBorder="1" applyAlignment="1" applyProtection="1">
      <alignment horizontal="right"/>
      <protection hidden="1"/>
    </xf>
    <xf numFmtId="167" fontId="10" fillId="8" borderId="31" xfId="2" applyNumberFormat="1" applyFont="1" applyFill="1" applyBorder="1" applyAlignment="1" applyProtection="1">
      <alignment horizontal="right"/>
      <protection locked="0"/>
    </xf>
    <xf numFmtId="167" fontId="10" fillId="8" borderId="0" xfId="2" applyNumberFormat="1" applyFont="1" applyFill="1" applyAlignment="1" applyProtection="1">
      <alignment horizontal="right"/>
      <protection locked="0"/>
    </xf>
    <xf numFmtId="167" fontId="10" fillId="8" borderId="30" xfId="2" applyNumberFormat="1" applyFont="1" applyFill="1" applyBorder="1" applyAlignment="1" applyProtection="1">
      <alignment horizontal="right"/>
      <protection locked="0"/>
    </xf>
    <xf numFmtId="169" fontId="10" fillId="8" borderId="31" xfId="1" applyNumberFormat="1" applyFont="1" applyFill="1" applyBorder="1" applyAlignment="1" applyProtection="1">
      <alignment horizontal="right"/>
      <protection locked="0"/>
    </xf>
    <xf numFmtId="169" fontId="10" fillId="8" borderId="0" xfId="1" applyNumberFormat="1" applyFont="1" applyFill="1" applyBorder="1" applyAlignment="1" applyProtection="1">
      <alignment horizontal="right"/>
      <protection locked="0"/>
    </xf>
    <xf numFmtId="169" fontId="10" fillId="8" borderId="30" xfId="1" applyNumberFormat="1" applyFont="1" applyFill="1" applyBorder="1" applyAlignment="1" applyProtection="1">
      <alignment horizontal="right"/>
      <protection locked="0"/>
    </xf>
    <xf numFmtId="0" fontId="0" fillId="0" borderId="72" xfId="0" applyBorder="1" applyAlignment="1">
      <alignment horizontal="center"/>
    </xf>
    <xf numFmtId="0" fontId="51" fillId="0" borderId="72" xfId="0" applyFont="1" applyBorder="1" applyAlignment="1">
      <alignment horizontal="center"/>
    </xf>
    <xf numFmtId="0" fontId="3" fillId="0" borderId="0" xfId="0" applyFont="1" applyAlignment="1">
      <alignment horizontal="center"/>
    </xf>
    <xf numFmtId="0" fontId="4" fillId="8" borderId="19" xfId="2" applyFill="1" applyBorder="1" applyAlignment="1" applyProtection="1">
      <alignment horizontal="left"/>
      <protection locked="0"/>
    </xf>
    <xf numFmtId="0" fontId="4" fillId="8" borderId="20" xfId="2" applyFill="1" applyBorder="1" applyAlignment="1" applyProtection="1">
      <alignment horizontal="left"/>
      <protection locked="0"/>
    </xf>
    <xf numFmtId="0" fontId="4" fillId="0" borderId="9" xfId="2" applyBorder="1" applyAlignment="1" applyProtection="1">
      <alignment horizontal="left"/>
      <protection hidden="1"/>
    </xf>
    <xf numFmtId="0" fontId="4" fillId="0" borderId="10" xfId="2" applyBorder="1" applyAlignment="1" applyProtection="1">
      <alignment horizontal="left"/>
      <protection hidden="1"/>
    </xf>
    <xf numFmtId="0" fontId="4" fillId="0" borderId="0" xfId="2" applyAlignment="1" applyProtection="1">
      <alignment horizontal="left"/>
      <protection hidden="1"/>
    </xf>
    <xf numFmtId="0" fontId="4" fillId="0" borderId="18" xfId="2" applyBorder="1" applyAlignment="1" applyProtection="1">
      <alignment horizontal="left"/>
      <protection hidden="1"/>
    </xf>
    <xf numFmtId="0" fontId="4" fillId="0" borderId="19" xfId="2" applyBorder="1" applyAlignment="1" applyProtection="1">
      <alignment horizontal="left"/>
      <protection hidden="1"/>
    </xf>
    <xf numFmtId="0" fontId="4" fillId="8" borderId="10" xfId="2" applyFill="1" applyBorder="1" applyAlignment="1" applyProtection="1">
      <alignment horizontal="left"/>
      <protection locked="0"/>
    </xf>
    <xf numFmtId="0" fontId="4" fillId="8" borderId="11" xfId="2" applyFill="1" applyBorder="1" applyAlignment="1" applyProtection="1">
      <alignment horizontal="left"/>
      <protection locked="0"/>
    </xf>
    <xf numFmtId="0" fontId="4" fillId="8" borderId="0" xfId="2" applyFill="1" applyAlignment="1" applyProtection="1">
      <alignment horizontal="left"/>
      <protection locked="0"/>
    </xf>
    <xf numFmtId="0" fontId="4" fillId="8" borderId="13" xfId="2" applyFill="1" applyBorder="1" applyAlignment="1" applyProtection="1">
      <alignment horizontal="left"/>
      <protection locked="0"/>
    </xf>
    <xf numFmtId="0" fontId="5" fillId="0" borderId="0" xfId="2" applyFont="1" applyAlignment="1" applyProtection="1">
      <alignment horizontal="center" vertical="center"/>
      <protection hidden="1"/>
    </xf>
    <xf numFmtId="0" fontId="6" fillId="0" borderId="1" xfId="2" applyFont="1" applyBorder="1" applyAlignment="1" applyProtection="1">
      <alignment horizontal="center"/>
      <protection hidden="1"/>
    </xf>
    <xf numFmtId="0" fontId="6" fillId="0" borderId="2" xfId="2" applyFont="1" applyBorder="1" applyAlignment="1" applyProtection="1">
      <alignment horizontal="center"/>
      <protection hidden="1"/>
    </xf>
    <xf numFmtId="0" fontId="6" fillId="0" borderId="3" xfId="2" applyFont="1" applyBorder="1" applyAlignment="1" applyProtection="1">
      <alignment horizontal="center"/>
      <protection hidden="1"/>
    </xf>
    <xf numFmtId="164" fontId="7" fillId="8" borderId="6" xfId="2" applyNumberFormat="1" applyFont="1" applyFill="1" applyBorder="1" applyAlignment="1" applyProtection="1">
      <alignment horizontal="center"/>
      <protection locked="0"/>
    </xf>
    <xf numFmtId="164" fontId="7" fillId="8" borderId="7" xfId="2" applyNumberFormat="1" applyFont="1" applyFill="1" applyBorder="1" applyAlignment="1" applyProtection="1">
      <alignment horizontal="center"/>
      <protection locked="0"/>
    </xf>
    <xf numFmtId="164" fontId="7" fillId="8" borderId="8" xfId="2" applyNumberFormat="1" applyFont="1" applyFill="1" applyBorder="1" applyAlignment="1" applyProtection="1">
      <alignment horizontal="center"/>
      <protection locked="0"/>
    </xf>
    <xf numFmtId="0" fontId="4" fillId="0" borderId="9" xfId="2" applyBorder="1" applyAlignment="1" applyProtection="1">
      <alignment horizontal="center"/>
      <protection hidden="1"/>
    </xf>
    <xf numFmtId="0" fontId="4" fillId="0" borderId="10" xfId="2" applyBorder="1" applyAlignment="1" applyProtection="1">
      <alignment horizontal="center"/>
      <protection hidden="1"/>
    </xf>
    <xf numFmtId="0" fontId="4" fillId="0" borderId="11" xfId="2" applyBorder="1" applyAlignment="1" applyProtection="1">
      <alignment horizontal="center"/>
      <protection hidden="1"/>
    </xf>
    <xf numFmtId="0" fontId="4" fillId="8" borderId="1" xfId="2" applyFill="1" applyBorder="1" applyAlignment="1" applyProtection="1">
      <alignment horizontal="center"/>
      <protection locked="0"/>
    </xf>
    <xf numFmtId="0" fontId="4" fillId="8" borderId="2" xfId="2" applyFill="1" applyBorder="1" applyAlignment="1" applyProtection="1">
      <alignment horizontal="center"/>
      <protection locked="0"/>
    </xf>
    <xf numFmtId="0" fontId="4" fillId="8" borderId="3" xfId="2" applyFill="1" applyBorder="1" applyAlignment="1" applyProtection="1">
      <alignment horizontal="center"/>
      <protection locked="0"/>
    </xf>
    <xf numFmtId="0" fontId="7" fillId="0" borderId="16" xfId="2" applyFont="1" applyBorder="1" applyAlignment="1" applyProtection="1">
      <alignment horizontal="center"/>
      <protection hidden="1"/>
    </xf>
    <xf numFmtId="0" fontId="7" fillId="0" borderId="15" xfId="2" applyFont="1" applyBorder="1" applyAlignment="1" applyProtection="1">
      <alignment horizontal="center"/>
      <protection hidden="1"/>
    </xf>
    <xf numFmtId="0" fontId="7" fillId="0" borderId="17" xfId="2" applyFont="1" applyBorder="1" applyAlignment="1" applyProtection="1">
      <alignment horizontal="center"/>
      <protection hidden="1"/>
    </xf>
    <xf numFmtId="0" fontId="4" fillId="0" borderId="1" xfId="2" applyBorder="1" applyAlignment="1" applyProtection="1">
      <alignment horizontal="center"/>
      <protection hidden="1"/>
    </xf>
    <xf numFmtId="0" fontId="4" fillId="0" borderId="2" xfId="2" applyBorder="1" applyAlignment="1" applyProtection="1">
      <alignment horizontal="center"/>
      <protection hidden="1"/>
    </xf>
    <xf numFmtId="0" fontId="4" fillId="0" borderId="3" xfId="2" applyBorder="1" applyAlignment="1" applyProtection="1">
      <alignment horizontal="center"/>
      <protection hidden="1"/>
    </xf>
    <xf numFmtId="169" fontId="10" fillId="0" borderId="0" xfId="2" applyNumberFormat="1" applyFont="1" applyAlignment="1" applyProtection="1">
      <alignment horizontal="right"/>
      <protection hidden="1"/>
    </xf>
    <xf numFmtId="169" fontId="10" fillId="0" borderId="0" xfId="2" applyNumberFormat="1" applyFont="1" applyAlignment="1" applyProtection="1">
      <alignment horizontal="right"/>
      <protection locked="0" hidden="1"/>
    </xf>
    <xf numFmtId="169" fontId="10" fillId="0" borderId="72" xfId="2" applyNumberFormat="1" applyFont="1" applyBorder="1" applyAlignment="1" applyProtection="1">
      <alignment horizontal="center"/>
      <protection hidden="1"/>
    </xf>
    <xf numFmtId="172" fontId="10" fillId="9" borderId="72" xfId="1" applyNumberFormat="1" applyFont="1" applyFill="1" applyBorder="1" applyAlignment="1" applyProtection="1">
      <alignment horizontal="center"/>
      <protection locked="0"/>
    </xf>
    <xf numFmtId="169" fontId="4" fillId="9" borderId="76" xfId="1" applyNumberFormat="1" applyFont="1" applyFill="1" applyBorder="1" applyAlignment="1" applyProtection="1">
      <alignment horizontal="right"/>
      <protection locked="0"/>
    </xf>
    <xf numFmtId="169" fontId="4" fillId="9" borderId="77" xfId="1" applyNumberFormat="1" applyFont="1" applyFill="1" applyBorder="1" applyAlignment="1" applyProtection="1">
      <alignment horizontal="right"/>
      <protection locked="0"/>
    </xf>
    <xf numFmtId="169" fontId="4" fillId="9" borderId="78" xfId="1" applyNumberFormat="1" applyFont="1" applyFill="1" applyBorder="1" applyAlignment="1" applyProtection="1">
      <alignment horizontal="right"/>
      <protection locked="0"/>
    </xf>
    <xf numFmtId="0" fontId="10" fillId="9" borderId="9" xfId="2" applyFont="1" applyFill="1" applyBorder="1" applyAlignment="1" applyProtection="1">
      <alignment horizontal="center"/>
      <protection locked="0"/>
    </xf>
    <xf numFmtId="0" fontId="10" fillId="9" borderId="10" xfId="2" applyFont="1" applyFill="1" applyBorder="1" applyAlignment="1" applyProtection="1">
      <alignment horizontal="center"/>
      <protection locked="0"/>
    </xf>
    <xf numFmtId="0" fontId="10" fillId="9" borderId="11" xfId="2" applyFont="1" applyFill="1" applyBorder="1" applyAlignment="1" applyProtection="1">
      <alignment horizontal="center"/>
      <protection locked="0"/>
    </xf>
    <xf numFmtId="0" fontId="32" fillId="0" borderId="0" xfId="2" applyFont="1" applyAlignment="1" applyProtection="1">
      <alignment horizontal="center"/>
      <protection hidden="1"/>
    </xf>
    <xf numFmtId="169" fontId="47" fillId="0" borderId="0" xfId="2" applyNumberFormat="1" applyFont="1" applyAlignment="1" applyProtection="1">
      <alignment horizontal="right"/>
      <protection hidden="1"/>
    </xf>
    <xf numFmtId="0" fontId="4" fillId="9" borderId="76" xfId="2" applyFill="1" applyBorder="1" applyAlignment="1" applyProtection="1">
      <alignment horizontal="left"/>
      <protection locked="0"/>
    </xf>
    <xf numFmtId="0" fontId="4" fillId="9" borderId="77" xfId="2" applyFill="1" applyBorder="1" applyAlignment="1" applyProtection="1">
      <alignment horizontal="left"/>
      <protection locked="0"/>
    </xf>
    <xf numFmtId="0" fontId="4" fillId="9" borderId="78" xfId="2" applyFill="1" applyBorder="1" applyAlignment="1" applyProtection="1">
      <alignment horizontal="left"/>
      <protection locked="0"/>
    </xf>
    <xf numFmtId="0" fontId="9" fillId="8" borderId="69" xfId="2" applyFont="1" applyFill="1" applyBorder="1" applyAlignment="1" applyProtection="1">
      <alignment vertical="top" wrapText="1"/>
      <protection locked="0"/>
    </xf>
    <xf numFmtId="0" fontId="9" fillId="8" borderId="70" xfId="2" applyFont="1" applyFill="1" applyBorder="1" applyAlignment="1" applyProtection="1">
      <alignment vertical="top" wrapText="1"/>
      <protection locked="0"/>
    </xf>
    <xf numFmtId="0" fontId="9" fillId="8" borderId="71" xfId="2" applyFont="1" applyFill="1" applyBorder="1" applyAlignment="1" applyProtection="1">
      <alignment vertical="top" wrapText="1"/>
      <protection locked="0"/>
    </xf>
    <xf numFmtId="0" fontId="9" fillId="8" borderId="73" xfId="2" applyFont="1" applyFill="1" applyBorder="1" applyAlignment="1" applyProtection="1">
      <alignment vertical="top" wrapText="1"/>
      <protection locked="0"/>
    </xf>
    <xf numFmtId="0" fontId="9" fillId="8" borderId="74" xfId="2" applyFont="1" applyFill="1" applyBorder="1" applyAlignment="1" applyProtection="1">
      <alignment vertical="top" wrapText="1"/>
      <protection locked="0"/>
    </xf>
    <xf numFmtId="0" fontId="9" fillId="8" borderId="75" xfId="2" applyFont="1" applyFill="1" applyBorder="1" applyAlignment="1" applyProtection="1">
      <alignment vertical="top" wrapText="1"/>
      <protection locked="0"/>
    </xf>
    <xf numFmtId="0" fontId="4" fillId="0" borderId="0" xfId="2" applyAlignment="1" applyProtection="1">
      <alignment horizontal="center"/>
      <protection hidden="1"/>
    </xf>
    <xf numFmtId="14" fontId="4" fillId="9" borderId="0" xfId="2" applyNumberFormat="1" applyFill="1" applyAlignment="1" applyProtection="1">
      <alignment horizontal="center"/>
      <protection locked="0"/>
    </xf>
    <xf numFmtId="169" fontId="10" fillId="9" borderId="28" xfId="2" applyNumberFormat="1" applyFont="1" applyFill="1" applyBorder="1" applyAlignment="1" applyProtection="1">
      <alignment horizontal="right"/>
      <protection locked="0"/>
    </xf>
    <xf numFmtId="172" fontId="4" fillId="0" borderId="28" xfId="1" applyNumberFormat="1" applyFont="1" applyBorder="1" applyAlignment="1" applyProtection="1">
      <alignment horizontal="right"/>
      <protection hidden="1"/>
    </xf>
    <xf numFmtId="169" fontId="10" fillId="0" borderId="28" xfId="2" applyNumberFormat="1" applyFont="1" applyBorder="1" applyAlignment="1" applyProtection="1">
      <alignment horizontal="right"/>
      <protection hidden="1"/>
    </xf>
    <xf numFmtId="167" fontId="10" fillId="0" borderId="72" xfId="2" applyNumberFormat="1" applyFont="1" applyBorder="1" applyAlignment="1" applyProtection="1">
      <alignment horizontal="center"/>
      <protection hidden="1"/>
    </xf>
    <xf numFmtId="0" fontId="4" fillId="0" borderId="101" xfId="2" applyBorder="1" applyAlignment="1" applyProtection="1">
      <alignment horizontal="left"/>
      <protection hidden="1"/>
    </xf>
    <xf numFmtId="0" fontId="4" fillId="8" borderId="12" xfId="2" applyFill="1" applyBorder="1" applyAlignment="1" applyProtection="1">
      <alignment horizontal="left"/>
      <protection locked="0"/>
    </xf>
    <xf numFmtId="0" fontId="4" fillId="8" borderId="101" xfId="2" applyFill="1" applyBorder="1" applyAlignment="1" applyProtection="1">
      <alignment horizontal="left"/>
      <protection locked="0"/>
    </xf>
    <xf numFmtId="0" fontId="7" fillId="0" borderId="18" xfId="2" applyFont="1" applyBorder="1" applyAlignment="1" applyProtection="1">
      <alignment horizontal="left"/>
      <protection hidden="1"/>
    </xf>
    <xf numFmtId="0" fontId="7" fillId="0" borderId="19" xfId="2" applyFont="1" applyBorder="1" applyAlignment="1" applyProtection="1">
      <alignment horizontal="left"/>
      <protection hidden="1"/>
    </xf>
    <xf numFmtId="0" fontId="7" fillId="0" borderId="20" xfId="2" applyFont="1" applyBorder="1" applyAlignment="1" applyProtection="1">
      <alignment horizontal="left"/>
      <protection hidden="1"/>
    </xf>
    <xf numFmtId="0" fontId="10" fillId="0" borderId="12" xfId="2" applyFont="1" applyBorder="1" applyAlignment="1" applyProtection="1">
      <alignment horizontal="center"/>
      <protection hidden="1"/>
    </xf>
    <xf numFmtId="0" fontId="10" fillId="0" borderId="0" xfId="2" applyFont="1" applyAlignment="1" applyProtection="1">
      <alignment horizontal="center"/>
      <protection hidden="1"/>
    </xf>
    <xf numFmtId="0" fontId="10" fillId="0" borderId="13" xfId="2" applyFont="1" applyBorder="1" applyAlignment="1" applyProtection="1">
      <alignment horizontal="center"/>
      <protection hidden="1"/>
    </xf>
    <xf numFmtId="0" fontId="10" fillId="8" borderId="0" xfId="2" applyFont="1" applyFill="1" applyAlignment="1" applyProtection="1">
      <alignment horizontal="center"/>
      <protection locked="0"/>
    </xf>
    <xf numFmtId="0" fontId="10" fillId="8" borderId="13" xfId="2" applyFont="1" applyFill="1" applyBorder="1" applyAlignment="1" applyProtection="1">
      <alignment horizontal="center"/>
      <protection locked="0"/>
    </xf>
    <xf numFmtId="0" fontId="4" fillId="9" borderId="0" xfId="2" applyFill="1" applyAlignment="1" applyProtection="1">
      <alignment horizontal="center"/>
      <protection locked="0"/>
    </xf>
    <xf numFmtId="174" fontId="10" fillId="0" borderId="19" xfId="2" applyNumberFormat="1" applyFont="1" applyBorder="1" applyAlignment="1" applyProtection="1">
      <alignment horizontal="center"/>
      <protection hidden="1"/>
    </xf>
    <xf numFmtId="174" fontId="10" fillId="0" borderId="20" xfId="2" applyNumberFormat="1" applyFont="1" applyBorder="1" applyAlignment="1" applyProtection="1">
      <alignment horizontal="center"/>
      <protection hidden="1"/>
    </xf>
    <xf numFmtId="0" fontId="4" fillId="9" borderId="76" xfId="2" quotePrefix="1" applyFill="1" applyBorder="1" applyAlignment="1" applyProtection="1">
      <alignment horizontal="left"/>
      <protection locked="0"/>
    </xf>
    <xf numFmtId="0" fontId="22" fillId="0" borderId="0" xfId="2" applyFont="1" applyAlignment="1" applyProtection="1">
      <alignment horizontal="right" vertical="center"/>
      <protection hidden="1"/>
    </xf>
    <xf numFmtId="0" fontId="22" fillId="0" borderId="99" xfId="2" applyFont="1" applyBorder="1" applyAlignment="1" applyProtection="1">
      <alignment horizontal="right" vertical="center"/>
      <protection hidden="1"/>
    </xf>
    <xf numFmtId="0" fontId="19" fillId="0" borderId="67" xfId="2" applyFont="1" applyBorder="1" applyAlignment="1" applyProtection="1">
      <alignment horizontal="left"/>
      <protection hidden="1"/>
    </xf>
    <xf numFmtId="0" fontId="19" fillId="0" borderId="68" xfId="2" applyFont="1" applyBorder="1" applyAlignment="1" applyProtection="1">
      <alignment horizontal="left"/>
      <protection hidden="1"/>
    </xf>
    <xf numFmtId="169" fontId="19" fillId="0" borderId="66" xfId="2" applyNumberFormat="1" applyFont="1" applyBorder="1" applyAlignment="1" applyProtection="1">
      <alignment horizontal="left"/>
      <protection hidden="1"/>
    </xf>
    <xf numFmtId="169" fontId="19" fillId="0" borderId="67" xfId="2" applyNumberFormat="1" applyFont="1" applyBorder="1" applyAlignment="1" applyProtection="1">
      <alignment horizontal="left"/>
      <protection hidden="1"/>
    </xf>
    <xf numFmtId="0" fontId="14" fillId="0" borderId="18" xfId="2" applyFont="1" applyBorder="1" applyAlignment="1" applyProtection="1">
      <alignment horizontal="right"/>
      <protection hidden="1"/>
    </xf>
    <xf numFmtId="0" fontId="14" fillId="0" borderId="38" xfId="2" applyFont="1" applyBorder="1" applyAlignment="1" applyProtection="1">
      <alignment horizontal="right"/>
      <protection hidden="1"/>
    </xf>
    <xf numFmtId="169" fontId="14" fillId="0" borderId="54" xfId="2" applyNumberFormat="1" applyFont="1" applyBorder="1" applyProtection="1">
      <protection hidden="1"/>
    </xf>
    <xf numFmtId="169" fontId="14" fillId="0" borderId="55" xfId="2" applyNumberFormat="1" applyFont="1" applyBorder="1" applyProtection="1">
      <protection hidden="1"/>
    </xf>
    <xf numFmtId="0" fontId="14" fillId="0" borderId="19" xfId="2" applyFont="1" applyBorder="1" applyAlignment="1" applyProtection="1">
      <alignment horizontal="right"/>
      <protection hidden="1"/>
    </xf>
    <xf numFmtId="0" fontId="14" fillId="0" borderId="37" xfId="2" applyFont="1" applyBorder="1" applyAlignment="1" applyProtection="1">
      <alignment horizontal="right"/>
      <protection hidden="1"/>
    </xf>
    <xf numFmtId="169" fontId="14" fillId="0" borderId="58" xfId="2" applyNumberFormat="1" applyFont="1" applyBorder="1" applyProtection="1">
      <protection hidden="1"/>
    </xf>
    <xf numFmtId="169" fontId="14" fillId="0" borderId="57" xfId="2" applyNumberFormat="1" applyFont="1" applyBorder="1" applyProtection="1">
      <protection hidden="1"/>
    </xf>
    <xf numFmtId="169" fontId="14" fillId="0" borderId="59" xfId="2" applyNumberFormat="1" applyFont="1" applyBorder="1" applyProtection="1">
      <protection hidden="1"/>
    </xf>
    <xf numFmtId="0" fontId="14" fillId="0" borderId="39" xfId="2" applyFont="1" applyBorder="1" applyAlignment="1" applyProtection="1">
      <alignment horizontal="right"/>
      <protection hidden="1"/>
    </xf>
    <xf numFmtId="169" fontId="14" fillId="0" borderId="28" xfId="2" applyNumberFormat="1" applyFont="1" applyBorder="1" applyProtection="1">
      <protection hidden="1"/>
    </xf>
    <xf numFmtId="169" fontId="19" fillId="0" borderId="65" xfId="2" applyNumberFormat="1" applyFont="1" applyBorder="1" applyAlignment="1" applyProtection="1">
      <alignment horizontal="left"/>
      <protection hidden="1"/>
    </xf>
    <xf numFmtId="0" fontId="9" fillId="0" borderId="50" xfId="2" applyFont="1" applyBorder="1" applyAlignment="1" applyProtection="1">
      <alignment horizontal="center"/>
      <protection hidden="1"/>
    </xf>
    <xf numFmtId="167" fontId="9" fillId="0" borderId="51" xfId="2" applyNumberFormat="1" applyFont="1" applyBorder="1" applyAlignment="1" applyProtection="1">
      <alignment horizontal="center"/>
      <protection hidden="1"/>
    </xf>
    <xf numFmtId="167" fontId="9" fillId="0" borderId="52" xfId="2" applyNumberFormat="1" applyFont="1" applyBorder="1" applyAlignment="1" applyProtection="1">
      <alignment horizontal="center"/>
      <protection hidden="1"/>
    </xf>
    <xf numFmtId="167" fontId="9" fillId="0" borderId="82" xfId="2" applyNumberFormat="1" applyFont="1" applyBorder="1" applyAlignment="1" applyProtection="1">
      <alignment horizontal="center"/>
      <protection hidden="1"/>
    </xf>
    <xf numFmtId="170" fontId="9" fillId="0" borderId="32" xfId="2" applyNumberFormat="1" applyFont="1" applyBorder="1" applyAlignment="1" applyProtection="1">
      <alignment horizontal="right"/>
      <protection hidden="1"/>
    </xf>
    <xf numFmtId="167" fontId="9" fillId="0" borderId="33" xfId="2" applyNumberFormat="1" applyFont="1" applyBorder="1" applyAlignment="1" applyProtection="1">
      <alignment horizontal="center"/>
      <protection locked="0"/>
    </xf>
    <xf numFmtId="167" fontId="9" fillId="0" borderId="0" xfId="2" applyNumberFormat="1" applyFont="1" applyAlignment="1" applyProtection="1">
      <alignment horizontal="center"/>
      <protection locked="0"/>
    </xf>
    <xf numFmtId="167" fontId="9" fillId="0" borderId="81" xfId="2" applyNumberFormat="1" applyFont="1" applyBorder="1" applyAlignment="1" applyProtection="1">
      <alignment horizontal="center"/>
      <protection locked="0"/>
    </xf>
    <xf numFmtId="0" fontId="16" fillId="0" borderId="48" xfId="2" applyFont="1" applyBorder="1" applyAlignment="1" applyProtection="1">
      <alignment horizontal="left"/>
      <protection hidden="1"/>
    </xf>
    <xf numFmtId="0" fontId="16" fillId="0" borderId="33" xfId="2" applyFont="1" applyBorder="1" applyAlignment="1" applyProtection="1">
      <alignment horizontal="left"/>
      <protection hidden="1"/>
    </xf>
    <xf numFmtId="0" fontId="16" fillId="0" borderId="31" xfId="2" applyFont="1" applyBorder="1" applyAlignment="1" applyProtection="1">
      <alignment horizontal="left"/>
      <protection hidden="1"/>
    </xf>
    <xf numFmtId="0" fontId="15" fillId="0" borderId="48" xfId="2" applyFont="1" applyBorder="1" applyAlignment="1" applyProtection="1">
      <alignment horizontal="left"/>
      <protection hidden="1"/>
    </xf>
    <xf numFmtId="0" fontId="15" fillId="0" borderId="33" xfId="2" applyFont="1" applyBorder="1" applyAlignment="1" applyProtection="1">
      <alignment horizontal="left"/>
      <protection hidden="1"/>
    </xf>
    <xf numFmtId="0" fontId="15" fillId="0" borderId="31" xfId="2" applyFont="1" applyBorder="1" applyAlignment="1" applyProtection="1">
      <alignment horizontal="left"/>
      <protection hidden="1"/>
    </xf>
    <xf numFmtId="0" fontId="15" fillId="0" borderId="46" xfId="2" applyFont="1" applyBorder="1" applyAlignment="1" applyProtection="1">
      <alignment horizontal="left"/>
      <protection hidden="1"/>
    </xf>
    <xf numFmtId="0" fontId="15" fillId="0" borderId="47" xfId="2" applyFont="1" applyBorder="1" applyAlignment="1" applyProtection="1">
      <alignment horizontal="left"/>
      <protection hidden="1"/>
    </xf>
    <xf numFmtId="0" fontId="15" fillId="0" borderId="80" xfId="2" applyFont="1" applyBorder="1" applyAlignment="1" applyProtection="1">
      <alignment horizontal="left"/>
      <protection hidden="1"/>
    </xf>
    <xf numFmtId="169" fontId="11" fillId="0" borderId="46" xfId="2" applyNumberFormat="1" applyFont="1" applyBorder="1" applyAlignment="1" applyProtection="1">
      <alignment horizontal="right"/>
      <protection hidden="1"/>
    </xf>
    <xf numFmtId="169" fontId="11" fillId="0" borderId="47" xfId="2" applyNumberFormat="1" applyFont="1" applyBorder="1" applyAlignment="1" applyProtection="1">
      <alignment horizontal="right"/>
      <protection hidden="1"/>
    </xf>
    <xf numFmtId="169" fontId="11" fillId="0" borderId="97" xfId="2" applyNumberFormat="1" applyFont="1" applyBorder="1" applyAlignment="1" applyProtection="1">
      <alignment horizontal="right"/>
      <protection hidden="1"/>
    </xf>
    <xf numFmtId="171" fontId="11" fillId="0" borderId="46" xfId="1" applyNumberFormat="1" applyFont="1" applyBorder="1" applyAlignment="1" applyProtection="1">
      <alignment horizontal="right"/>
      <protection hidden="1"/>
    </xf>
    <xf numFmtId="171" fontId="11" fillId="0" borderId="47" xfId="1" applyNumberFormat="1" applyFont="1" applyBorder="1" applyAlignment="1" applyProtection="1">
      <alignment horizontal="right"/>
      <protection hidden="1"/>
    </xf>
    <xf numFmtId="171" fontId="11" fillId="0" borderId="97" xfId="1" applyNumberFormat="1" applyFont="1" applyBorder="1" applyAlignment="1" applyProtection="1">
      <alignment horizontal="right"/>
      <protection hidden="1"/>
    </xf>
    <xf numFmtId="169" fontId="10" fillId="0" borderId="46" xfId="2" applyNumberFormat="1" applyFont="1" applyBorder="1" applyAlignment="1" applyProtection="1">
      <alignment horizontal="right"/>
      <protection hidden="1"/>
    </xf>
    <xf numFmtId="169" fontId="10" fillId="0" borderId="47" xfId="2" applyNumberFormat="1" applyFont="1" applyBorder="1" applyAlignment="1" applyProtection="1">
      <alignment horizontal="right"/>
      <protection hidden="1"/>
    </xf>
    <xf numFmtId="169" fontId="10" fillId="0" borderId="97" xfId="2" applyNumberFormat="1" applyFont="1" applyBorder="1" applyAlignment="1" applyProtection="1">
      <alignment horizontal="right"/>
      <protection hidden="1"/>
    </xf>
    <xf numFmtId="169" fontId="11" fillId="0" borderId="46" xfId="2" applyNumberFormat="1" applyFont="1" applyBorder="1" applyProtection="1">
      <protection hidden="1"/>
    </xf>
    <xf numFmtId="169" fontId="11" fillId="0" borderId="47" xfId="2" applyNumberFormat="1" applyFont="1" applyBorder="1" applyProtection="1">
      <protection hidden="1"/>
    </xf>
    <xf numFmtId="169" fontId="11" fillId="0" borderId="97" xfId="2" applyNumberFormat="1" applyFont="1" applyBorder="1" applyProtection="1">
      <protection hidden="1"/>
    </xf>
    <xf numFmtId="171" fontId="11" fillId="0" borderId="46" xfId="1" applyNumberFormat="1" applyFont="1" applyBorder="1" applyAlignment="1" applyProtection="1">
      <protection hidden="1"/>
    </xf>
    <xf numFmtId="171" fontId="11" fillId="0" borderId="47" xfId="1" applyNumberFormat="1" applyFont="1" applyBorder="1" applyAlignment="1" applyProtection="1">
      <protection hidden="1"/>
    </xf>
    <xf numFmtId="171" fontId="11" fillId="0" borderId="97" xfId="1" applyNumberFormat="1" applyFont="1" applyBorder="1" applyAlignment="1" applyProtection="1">
      <protection hidden="1"/>
    </xf>
    <xf numFmtId="0" fontId="14" fillId="0" borderId="43" xfId="2" applyFont="1" applyBorder="1" applyAlignment="1" applyProtection="1">
      <alignment horizontal="center"/>
      <protection hidden="1"/>
    </xf>
    <xf numFmtId="0" fontId="14" fillId="0" borderId="14" xfId="2" applyFont="1" applyBorder="1" applyAlignment="1" applyProtection="1">
      <alignment horizontal="center"/>
      <protection hidden="1"/>
    </xf>
    <xf numFmtId="0" fontId="10" fillId="0" borderId="1" xfId="2" applyFont="1" applyBorder="1" applyAlignment="1" applyProtection="1">
      <alignment horizontal="center"/>
      <protection hidden="1"/>
    </xf>
    <xf numFmtId="0" fontId="10" fillId="0" borderId="2" xfId="2" applyFont="1" applyBorder="1" applyAlignment="1" applyProtection="1">
      <alignment horizontal="center"/>
      <protection hidden="1"/>
    </xf>
    <xf numFmtId="0" fontId="10" fillId="0" borderId="84" xfId="2" applyFont="1" applyBorder="1" applyAlignment="1" applyProtection="1">
      <alignment horizontal="center"/>
      <protection hidden="1"/>
    </xf>
    <xf numFmtId="0" fontId="10" fillId="0" borderId="56" xfId="2" applyFont="1" applyBorder="1" applyAlignment="1" applyProtection="1">
      <alignment horizontal="center"/>
      <protection hidden="1"/>
    </xf>
    <xf numFmtId="0" fontId="10" fillId="0" borderId="3" xfId="2" applyFont="1" applyBorder="1" applyAlignment="1" applyProtection="1">
      <alignment horizontal="center"/>
      <protection hidden="1"/>
    </xf>
    <xf numFmtId="0" fontId="10" fillId="0" borderId="80" xfId="2" applyFont="1" applyBorder="1" applyAlignment="1" applyProtection="1">
      <alignment horizontal="center"/>
      <protection hidden="1"/>
    </xf>
    <xf numFmtId="0" fontId="10" fillId="0" borderId="10" xfId="2" applyFont="1" applyBorder="1" applyAlignment="1" applyProtection="1">
      <alignment horizontal="center"/>
      <protection hidden="1"/>
    </xf>
    <xf numFmtId="0" fontId="10" fillId="0" borderId="79" xfId="2" applyFont="1" applyBorder="1" applyAlignment="1" applyProtection="1">
      <alignment horizontal="center"/>
      <protection hidden="1"/>
    </xf>
    <xf numFmtId="0" fontId="7" fillId="0" borderId="1" xfId="2" applyFont="1" applyBorder="1" applyAlignment="1" applyProtection="1">
      <alignment horizontal="center"/>
      <protection hidden="1"/>
    </xf>
    <xf numFmtId="0" fontId="7" fillId="0" borderId="2" xfId="2" applyFont="1" applyBorder="1" applyAlignment="1" applyProtection="1">
      <alignment horizontal="center"/>
      <protection hidden="1"/>
    </xf>
    <xf numFmtId="0" fontId="7" fillId="0" borderId="3" xfId="2" applyFont="1" applyBorder="1" applyAlignment="1" applyProtection="1">
      <alignment horizontal="center"/>
      <protection hidden="1"/>
    </xf>
    <xf numFmtId="0" fontId="10" fillId="0" borderId="44" xfId="2" applyFont="1" applyBorder="1" applyAlignment="1" applyProtection="1">
      <alignment horizontal="center"/>
      <protection hidden="1"/>
    </xf>
    <xf numFmtId="0" fontId="10" fillId="0" borderId="7" xfId="2" applyFont="1" applyBorder="1" applyAlignment="1" applyProtection="1">
      <alignment horizontal="center"/>
      <protection hidden="1"/>
    </xf>
    <xf numFmtId="0" fontId="10" fillId="0" borderId="45" xfId="2" applyFont="1" applyBorder="1" applyAlignment="1" applyProtection="1">
      <alignment horizontal="center"/>
      <protection hidden="1"/>
    </xf>
    <xf numFmtId="169" fontId="10" fillId="0" borderId="15" xfId="2" applyNumberFormat="1" applyFont="1" applyBorder="1" applyProtection="1">
      <protection hidden="1"/>
    </xf>
    <xf numFmtId="169" fontId="10" fillId="0" borderId="25" xfId="2" applyNumberFormat="1" applyFont="1" applyBorder="1" applyProtection="1">
      <protection hidden="1"/>
    </xf>
    <xf numFmtId="0" fontId="8" fillId="8" borderId="18" xfId="2" applyFont="1" applyFill="1" applyBorder="1" applyAlignment="1" applyProtection="1">
      <alignment horizontal="left"/>
      <protection locked="0"/>
    </xf>
    <xf numFmtId="0" fontId="8" fillId="8" borderId="19" xfId="2" applyFont="1" applyFill="1" applyBorder="1" applyAlignment="1" applyProtection="1">
      <alignment horizontal="left"/>
      <protection locked="0"/>
    </xf>
    <xf numFmtId="0" fontId="8" fillId="8" borderId="20" xfId="2" applyFont="1" applyFill="1" applyBorder="1" applyAlignment="1" applyProtection="1">
      <alignment horizontal="left"/>
      <protection locked="0"/>
    </xf>
    <xf numFmtId="167" fontId="10" fillId="0" borderId="19" xfId="2" applyNumberFormat="1" applyFont="1" applyBorder="1" applyAlignment="1" applyProtection="1">
      <alignment horizontal="right"/>
      <protection hidden="1"/>
    </xf>
    <xf numFmtId="167" fontId="10" fillId="0" borderId="37" xfId="2" applyNumberFormat="1" applyFont="1" applyBorder="1" applyAlignment="1" applyProtection="1">
      <alignment horizontal="right"/>
      <protection hidden="1"/>
    </xf>
    <xf numFmtId="167" fontId="10" fillId="0" borderId="38" xfId="2" applyNumberFormat="1" applyFont="1" applyBorder="1" applyAlignment="1" applyProtection="1">
      <alignment horizontal="right"/>
      <protection hidden="1"/>
    </xf>
    <xf numFmtId="169" fontId="10" fillId="9" borderId="39" xfId="2" applyNumberFormat="1" applyFont="1" applyFill="1" applyBorder="1" applyAlignment="1" applyProtection="1">
      <alignment horizontal="right"/>
      <protection locked="0"/>
    </xf>
    <xf numFmtId="169" fontId="10" fillId="9" borderId="40" xfId="2" applyNumberFormat="1" applyFont="1" applyFill="1" applyBorder="1" applyAlignment="1" applyProtection="1">
      <alignment horizontal="right"/>
      <protection locked="0"/>
    </xf>
    <xf numFmtId="169" fontId="10" fillId="9" borderId="41" xfId="2" applyNumberFormat="1" applyFont="1" applyFill="1" applyBorder="1" applyAlignment="1" applyProtection="1">
      <alignment horizontal="right"/>
      <protection locked="0"/>
    </xf>
    <xf numFmtId="0" fontId="8" fillId="0" borderId="12" xfId="2" applyFont="1" applyBorder="1" applyAlignment="1" applyProtection="1">
      <alignment horizontal="left"/>
      <protection hidden="1"/>
    </xf>
    <xf numFmtId="0" fontId="8" fillId="0" borderId="0" xfId="2" applyFont="1" applyAlignment="1" applyProtection="1">
      <alignment horizontal="left"/>
      <protection hidden="1"/>
    </xf>
    <xf numFmtId="0" fontId="8" fillId="0" borderId="13" xfId="2" applyFont="1" applyBorder="1" applyAlignment="1" applyProtection="1">
      <alignment horizontal="left"/>
      <protection hidden="1"/>
    </xf>
    <xf numFmtId="167" fontId="10" fillId="0" borderId="0" xfId="2" applyNumberFormat="1" applyFont="1" applyAlignment="1" applyProtection="1">
      <alignment horizontal="right"/>
      <protection hidden="1"/>
    </xf>
    <xf numFmtId="167" fontId="10" fillId="0" borderId="30" xfId="2" applyNumberFormat="1" applyFont="1" applyBorder="1" applyAlignment="1" applyProtection="1">
      <alignment horizontal="right"/>
      <protection hidden="1"/>
    </xf>
    <xf numFmtId="167" fontId="10" fillId="0" borderId="31" xfId="2" applyNumberFormat="1" applyFont="1" applyBorder="1" applyAlignment="1" applyProtection="1">
      <alignment horizontal="right"/>
      <protection hidden="1"/>
    </xf>
    <xf numFmtId="169" fontId="10" fillId="9" borderId="31" xfId="2" applyNumberFormat="1" applyFont="1" applyFill="1" applyBorder="1" applyAlignment="1" applyProtection="1">
      <alignment horizontal="right"/>
      <protection locked="0"/>
    </xf>
    <xf numFmtId="169" fontId="10" fillId="9" borderId="0" xfId="2" applyNumberFormat="1" applyFont="1" applyFill="1" applyAlignment="1" applyProtection="1">
      <alignment horizontal="right"/>
      <protection locked="0"/>
    </xf>
    <xf numFmtId="169" fontId="10" fillId="9" borderId="30" xfId="2" applyNumberFormat="1" applyFont="1" applyFill="1" applyBorder="1" applyAlignment="1" applyProtection="1">
      <alignment horizontal="right"/>
      <protection locked="0"/>
    </xf>
    <xf numFmtId="0" fontId="10" fillId="0" borderId="13" xfId="2" applyFont="1" applyBorder="1" applyAlignment="1" applyProtection="1">
      <alignment horizontal="right"/>
      <protection hidden="1"/>
    </xf>
    <xf numFmtId="0" fontId="10" fillId="0" borderId="12" xfId="2" applyFont="1" applyBorder="1" applyAlignment="1" applyProtection="1">
      <alignment horizontal="right"/>
      <protection hidden="1"/>
    </xf>
    <xf numFmtId="169" fontId="10" fillId="9" borderId="12" xfId="2" applyNumberFormat="1" applyFont="1" applyFill="1" applyBorder="1" applyAlignment="1" applyProtection="1">
      <alignment horizontal="right"/>
      <protection locked="0"/>
    </xf>
    <xf numFmtId="169" fontId="10" fillId="9" borderId="13" xfId="2" applyNumberFormat="1" applyFont="1" applyFill="1" applyBorder="1" applyAlignment="1" applyProtection="1">
      <alignment horizontal="right"/>
      <protection locked="0"/>
    </xf>
    <xf numFmtId="0" fontId="6" fillId="0" borderId="1" xfId="2" applyFont="1" applyBorder="1" applyAlignment="1" applyProtection="1">
      <alignment horizontal="right"/>
      <protection hidden="1"/>
    </xf>
    <xf numFmtId="0" fontId="6" fillId="0" borderId="2" xfId="2" applyFont="1" applyBorder="1" applyAlignment="1" applyProtection="1">
      <alignment horizontal="right"/>
      <protection hidden="1"/>
    </xf>
    <xf numFmtId="0" fontId="6" fillId="0" borderId="3" xfId="2" applyFont="1" applyBorder="1" applyAlignment="1" applyProtection="1">
      <alignment horizontal="right"/>
      <protection hidden="1"/>
    </xf>
    <xf numFmtId="169" fontId="14" fillId="0" borderId="42" xfId="2" applyNumberFormat="1" applyFont="1" applyBorder="1" applyAlignment="1" applyProtection="1">
      <alignment horizontal="right"/>
      <protection hidden="1"/>
    </xf>
    <xf numFmtId="0" fontId="13" fillId="0" borderId="34" xfId="2" applyFont="1" applyBorder="1" applyAlignment="1" applyProtection="1">
      <alignment horizontal="center" vertical="center" textRotation="255" shrinkToFit="1"/>
      <protection hidden="1"/>
    </xf>
    <xf numFmtId="0" fontId="13" fillId="0" borderId="36" xfId="2" applyFont="1" applyBorder="1" applyAlignment="1" applyProtection="1">
      <alignment horizontal="center" vertical="center" textRotation="255" shrinkToFit="1"/>
      <protection hidden="1"/>
    </xf>
    <xf numFmtId="0" fontId="13" fillId="0" borderId="35" xfId="2" applyFont="1" applyBorder="1" applyAlignment="1" applyProtection="1">
      <alignment horizontal="center" vertical="center" textRotation="255" shrinkToFit="1"/>
      <protection hidden="1"/>
    </xf>
    <xf numFmtId="0" fontId="8" fillId="8" borderId="9" xfId="2" applyFont="1" applyFill="1" applyBorder="1" applyAlignment="1" applyProtection="1">
      <alignment horizontal="left"/>
      <protection locked="0"/>
    </xf>
    <xf numFmtId="0" fontId="8" fillId="8" borderId="10" xfId="2" applyFont="1" applyFill="1" applyBorder="1" applyAlignment="1" applyProtection="1">
      <alignment horizontal="left"/>
      <protection locked="0"/>
    </xf>
    <xf numFmtId="0" fontId="8" fillId="8" borderId="11" xfId="2" applyFont="1" applyFill="1" applyBorder="1" applyAlignment="1" applyProtection="1">
      <alignment horizontal="left"/>
      <protection locked="0"/>
    </xf>
    <xf numFmtId="0" fontId="12" fillId="0" borderId="34" xfId="2" quotePrefix="1" applyFont="1" applyBorder="1" applyAlignment="1" applyProtection="1">
      <alignment horizontal="center" vertical="center" textRotation="255" shrinkToFit="1"/>
      <protection hidden="1"/>
    </xf>
    <xf numFmtId="0" fontId="12" fillId="0" borderId="35" xfId="2" quotePrefix="1" applyFont="1" applyBorder="1" applyAlignment="1" applyProtection="1">
      <alignment horizontal="center" vertical="center" textRotation="255" shrinkToFit="1"/>
      <protection hidden="1"/>
    </xf>
    <xf numFmtId="0" fontId="8" fillId="8" borderId="12" xfId="2" applyFont="1" applyFill="1" applyBorder="1" applyAlignment="1" applyProtection="1">
      <alignment horizontal="left"/>
      <protection locked="0"/>
    </xf>
    <xf numFmtId="0" fontId="8" fillId="8" borderId="0" xfId="2" applyFont="1" applyFill="1" applyAlignment="1" applyProtection="1">
      <alignment horizontal="left"/>
      <protection locked="0"/>
    </xf>
    <xf numFmtId="0" fontId="8" fillId="8" borderId="13" xfId="2" applyFont="1" applyFill="1" applyBorder="1" applyAlignment="1" applyProtection="1">
      <alignment horizontal="left"/>
      <protection locked="0"/>
    </xf>
    <xf numFmtId="169" fontId="11" fillId="0" borderId="0" xfId="2" applyNumberFormat="1" applyFont="1" applyAlignment="1" applyProtection="1">
      <alignment horizontal="right"/>
      <protection locked="0" hidden="1"/>
    </xf>
    <xf numFmtId="169" fontId="11" fillId="0" borderId="13" xfId="2" applyNumberFormat="1" applyFont="1" applyBorder="1" applyAlignment="1" applyProtection="1">
      <alignment horizontal="right"/>
      <protection locked="0" hidden="1"/>
    </xf>
    <xf numFmtId="9" fontId="10" fillId="0" borderId="12" xfId="2" applyNumberFormat="1" applyFont="1" applyBorder="1" applyAlignment="1" applyProtection="1">
      <alignment horizontal="right"/>
      <protection hidden="1"/>
    </xf>
    <xf numFmtId="9" fontId="10" fillId="0" borderId="0" xfId="2" applyNumberFormat="1" applyFont="1" applyAlignment="1" applyProtection="1">
      <alignment horizontal="right"/>
      <protection hidden="1"/>
    </xf>
    <xf numFmtId="9" fontId="10" fillId="0" borderId="13" xfId="2" applyNumberFormat="1" applyFont="1" applyBorder="1" applyAlignment="1" applyProtection="1">
      <alignment horizontal="right"/>
      <protection hidden="1"/>
    </xf>
    <xf numFmtId="0" fontId="8" fillId="0" borderId="18" xfId="2" applyFont="1" applyBorder="1" applyAlignment="1" applyProtection="1">
      <alignment horizontal="left"/>
      <protection hidden="1"/>
    </xf>
    <xf numFmtId="0" fontId="8" fillId="0" borderId="19" xfId="2" applyFont="1" applyBorder="1" applyAlignment="1" applyProtection="1">
      <alignment horizontal="left"/>
      <protection hidden="1"/>
    </xf>
    <xf numFmtId="0" fontId="8" fillId="0" borderId="20" xfId="2" applyFont="1" applyBorder="1" applyAlignment="1" applyProtection="1">
      <alignment horizontal="left"/>
      <protection hidden="1"/>
    </xf>
    <xf numFmtId="177" fontId="10" fillId="0" borderId="31" xfId="2" applyNumberFormat="1" applyFont="1" applyBorder="1" applyAlignment="1" applyProtection="1">
      <alignment horizontal="right"/>
      <protection hidden="1"/>
    </xf>
    <xf numFmtId="177" fontId="10" fillId="0" borderId="0" xfId="2" applyNumberFormat="1" applyFont="1" applyAlignment="1" applyProtection="1">
      <alignment horizontal="right"/>
      <protection hidden="1"/>
    </xf>
    <xf numFmtId="177" fontId="10" fillId="0" borderId="30" xfId="2" applyNumberFormat="1" applyFont="1" applyBorder="1" applyAlignment="1" applyProtection="1">
      <alignment horizontal="right"/>
      <protection hidden="1"/>
    </xf>
    <xf numFmtId="169" fontId="11" fillId="0" borderId="31" xfId="2" applyNumberFormat="1" applyFont="1" applyBorder="1" applyAlignment="1" applyProtection="1">
      <alignment horizontal="right"/>
      <protection hidden="1"/>
    </xf>
    <xf numFmtId="169" fontId="11" fillId="0" borderId="0" xfId="2" applyNumberFormat="1" applyFont="1" applyAlignment="1" applyProtection="1">
      <alignment horizontal="right"/>
      <protection hidden="1"/>
    </xf>
    <xf numFmtId="169" fontId="11" fillId="0" borderId="30" xfId="2" applyNumberFormat="1" applyFont="1" applyBorder="1" applyAlignment="1" applyProtection="1">
      <alignment horizontal="right"/>
      <protection hidden="1"/>
    </xf>
    <xf numFmtId="0" fontId="8" fillId="0" borderId="9" xfId="2" applyFont="1" applyBorder="1" applyAlignment="1" applyProtection="1">
      <alignment horizontal="left"/>
      <protection hidden="1"/>
    </xf>
    <xf numFmtId="0" fontId="8" fillId="0" borderId="10" xfId="2" applyFont="1" applyBorder="1" applyAlignment="1" applyProtection="1">
      <alignment horizontal="left"/>
      <protection hidden="1"/>
    </xf>
    <xf numFmtId="0" fontId="8" fillId="0" borderId="11" xfId="2" applyFont="1" applyBorder="1" applyAlignment="1" applyProtection="1">
      <alignment horizontal="left"/>
      <protection hidden="1"/>
    </xf>
    <xf numFmtId="9" fontId="4" fillId="8" borderId="4" xfId="1" applyFont="1" applyFill="1" applyBorder="1" applyAlignment="1" applyProtection="1">
      <alignment horizontal="center"/>
      <protection locked="0"/>
    </xf>
    <xf numFmtId="9" fontId="4" fillId="8" borderId="21" xfId="1" applyFont="1" applyFill="1" applyBorder="1" applyAlignment="1" applyProtection="1">
      <alignment horizontal="center"/>
      <protection locked="0"/>
    </xf>
    <xf numFmtId="168" fontId="4" fillId="0" borderId="1" xfId="2" applyNumberFormat="1" applyBorder="1" applyAlignment="1" applyProtection="1">
      <alignment horizontal="center"/>
      <protection hidden="1"/>
    </xf>
    <xf numFmtId="168" fontId="4" fillId="0" borderId="2" xfId="2" applyNumberFormat="1" applyBorder="1" applyAlignment="1" applyProtection="1">
      <alignment horizontal="center"/>
      <protection hidden="1"/>
    </xf>
    <xf numFmtId="168" fontId="4" fillId="0" borderId="3" xfId="2" applyNumberFormat="1" applyBorder="1" applyAlignment="1" applyProtection="1">
      <alignment horizontal="center"/>
      <protection hidden="1"/>
    </xf>
    <xf numFmtId="0" fontId="4" fillId="0" borderId="5" xfId="2" applyBorder="1" applyAlignment="1" applyProtection="1">
      <alignment horizontal="center"/>
      <protection hidden="1"/>
    </xf>
    <xf numFmtId="0" fontId="4" fillId="0" borderId="21" xfId="2" applyBorder="1" applyAlignment="1" applyProtection="1">
      <alignment horizontal="center"/>
      <protection hidden="1"/>
    </xf>
    <xf numFmtId="0" fontId="4" fillId="0" borderId="4" xfId="2" applyBorder="1" applyAlignment="1" applyProtection="1">
      <alignment horizontal="center"/>
      <protection hidden="1"/>
    </xf>
    <xf numFmtId="0" fontId="9" fillId="0" borderId="22" xfId="2" applyFont="1" applyBorder="1" applyAlignment="1" applyProtection="1">
      <alignment horizontal="center" vertical="center"/>
      <protection hidden="1"/>
    </xf>
    <xf numFmtId="0" fontId="9" fillId="0" borderId="23" xfId="2" applyFont="1" applyBorder="1" applyAlignment="1" applyProtection="1">
      <alignment horizontal="center" vertical="center"/>
      <protection hidden="1"/>
    </xf>
    <xf numFmtId="0" fontId="9" fillId="0" borderId="27" xfId="2" applyFont="1" applyBorder="1" applyAlignment="1" applyProtection="1">
      <alignment horizontal="center" vertical="center"/>
      <protection hidden="1"/>
    </xf>
    <xf numFmtId="0" fontId="9" fillId="0" borderId="28" xfId="2" applyFont="1" applyBorder="1" applyAlignment="1" applyProtection="1">
      <alignment horizontal="center" vertical="center"/>
      <protection hidden="1"/>
    </xf>
    <xf numFmtId="0" fontId="9" fillId="9" borderId="23" xfId="2" applyFont="1" applyFill="1" applyBorder="1" applyAlignment="1" applyProtection="1">
      <alignment horizontal="center" vertical="center"/>
      <protection hidden="1"/>
    </xf>
    <xf numFmtId="0" fontId="9" fillId="9" borderId="28" xfId="2" applyFont="1" applyFill="1" applyBorder="1" applyAlignment="1" applyProtection="1">
      <alignment horizontal="center" vertical="center"/>
      <protection hidden="1"/>
    </xf>
    <xf numFmtId="9" fontId="4" fillId="8" borderId="1" xfId="1" applyFont="1" applyFill="1" applyBorder="1" applyAlignment="1" applyProtection="1">
      <alignment horizontal="center"/>
      <protection locked="0"/>
    </xf>
    <xf numFmtId="9" fontId="4" fillId="8" borderId="3" xfId="1" applyFont="1" applyFill="1" applyBorder="1" applyAlignment="1" applyProtection="1">
      <alignment horizontal="center"/>
      <protection locked="0"/>
    </xf>
    <xf numFmtId="0" fontId="3" fillId="0" borderId="0" xfId="0" applyFont="1" applyAlignment="1" applyProtection="1">
      <alignment horizontal="left" vertical="center" wrapText="1"/>
      <protection hidden="1"/>
    </xf>
    <xf numFmtId="0" fontId="10" fillId="0" borderId="34" xfId="2" quotePrefix="1" applyFont="1" applyBorder="1" applyAlignment="1" applyProtection="1">
      <alignment horizontal="center" vertical="center"/>
      <protection hidden="1"/>
    </xf>
    <xf numFmtId="0" fontId="10" fillId="0" borderId="83" xfId="2" applyFont="1" applyBorder="1" applyAlignment="1" applyProtection="1">
      <alignment horizontal="center" vertical="center"/>
      <protection hidden="1"/>
    </xf>
    <xf numFmtId="0" fontId="10" fillId="0" borderId="35" xfId="2" applyFont="1" applyBorder="1" applyAlignment="1" applyProtection="1">
      <alignment horizontal="center" vertical="center"/>
      <protection hidden="1"/>
    </xf>
    <xf numFmtId="0" fontId="4" fillId="0" borderId="2" xfId="2" applyBorder="1" applyProtection="1">
      <protection hidden="1"/>
    </xf>
    <xf numFmtId="0" fontId="4" fillId="0" borderId="84" xfId="2" applyBorder="1" applyProtection="1">
      <protection hidden="1"/>
    </xf>
    <xf numFmtId="0" fontId="4" fillId="8" borderId="19" xfId="2" applyFill="1" applyBorder="1" applyAlignment="1" applyProtection="1">
      <alignment horizontal="center"/>
      <protection locked="0"/>
    </xf>
    <xf numFmtId="0" fontId="4" fillId="8" borderId="37" xfId="2" applyFill="1" applyBorder="1" applyAlignment="1" applyProtection="1">
      <alignment horizontal="center"/>
      <protection locked="0"/>
    </xf>
    <xf numFmtId="0" fontId="29" fillId="0" borderId="72" xfId="2" applyFont="1" applyBorder="1" applyAlignment="1" applyProtection="1">
      <alignment horizontal="center"/>
      <protection hidden="1"/>
    </xf>
    <xf numFmtId="0" fontId="9" fillId="9" borderId="24" xfId="2" applyFont="1" applyFill="1" applyBorder="1" applyAlignment="1" applyProtection="1">
      <alignment horizontal="center" vertical="center"/>
      <protection hidden="1"/>
    </xf>
    <xf numFmtId="0" fontId="9" fillId="9" borderId="29" xfId="2" applyFont="1" applyFill="1" applyBorder="1" applyAlignment="1" applyProtection="1">
      <alignment horizontal="center" vertical="center"/>
      <protection hidden="1"/>
    </xf>
    <xf numFmtId="0" fontId="4" fillId="0" borderId="9" xfId="2" applyBorder="1" applyAlignment="1">
      <alignment horizontal="left"/>
    </xf>
    <xf numFmtId="0" fontId="4" fillId="0" borderId="10" xfId="2" applyBorder="1" applyAlignment="1">
      <alignment horizontal="left"/>
    </xf>
    <xf numFmtId="0" fontId="4" fillId="0" borderId="11" xfId="2" applyBorder="1" applyAlignment="1">
      <alignment horizontal="left"/>
    </xf>
    <xf numFmtId="167" fontId="10" fillId="0" borderId="15" xfId="2" applyNumberFormat="1" applyFont="1" applyBorder="1" applyAlignment="1" applyProtection="1">
      <alignment horizontal="right"/>
      <protection hidden="1"/>
    </xf>
    <xf numFmtId="167" fontId="10" fillId="0" borderId="25" xfId="2" applyNumberFormat="1" applyFont="1" applyBorder="1" applyAlignment="1" applyProtection="1">
      <alignment horizontal="right"/>
      <protection hidden="1"/>
    </xf>
    <xf numFmtId="177" fontId="10" fillId="0" borderId="14" xfId="2" applyNumberFormat="1" applyFont="1" applyBorder="1" applyAlignment="1" applyProtection="1">
      <alignment horizontal="right"/>
      <protection hidden="1"/>
    </xf>
    <xf numFmtId="177" fontId="10" fillId="0" borderId="15" xfId="2" applyNumberFormat="1" applyFont="1" applyBorder="1" applyAlignment="1" applyProtection="1">
      <alignment horizontal="right"/>
      <protection hidden="1"/>
    </xf>
    <xf numFmtId="177" fontId="10" fillId="0" borderId="25" xfId="2" applyNumberFormat="1" applyFont="1" applyBorder="1" applyAlignment="1" applyProtection="1">
      <alignment horizontal="right"/>
      <protection hidden="1"/>
    </xf>
    <xf numFmtId="169" fontId="10" fillId="0" borderId="14" xfId="2" applyNumberFormat="1" applyFont="1" applyBorder="1" applyAlignment="1" applyProtection="1">
      <alignment horizontal="right"/>
      <protection hidden="1"/>
    </xf>
    <xf numFmtId="169" fontId="10" fillId="0" borderId="15" xfId="2" applyNumberFormat="1" applyFont="1" applyBorder="1" applyAlignment="1" applyProtection="1">
      <alignment horizontal="right"/>
      <protection hidden="1"/>
    </xf>
    <xf numFmtId="169" fontId="10" fillId="0" borderId="25" xfId="2" applyNumberFormat="1" applyFont="1" applyBorder="1" applyAlignment="1" applyProtection="1">
      <alignment horizontal="right"/>
      <protection hidden="1"/>
    </xf>
    <xf numFmtId="0" fontId="4" fillId="0" borderId="13" xfId="2" applyBorder="1" applyAlignment="1" applyProtection="1">
      <alignment horizontal="left"/>
      <protection hidden="1"/>
    </xf>
    <xf numFmtId="167" fontId="11" fillId="8" borderId="0" xfId="2" applyNumberFormat="1" applyFont="1" applyFill="1" applyAlignment="1" applyProtection="1">
      <alignment horizontal="right"/>
      <protection locked="0"/>
    </xf>
    <xf numFmtId="167" fontId="11" fillId="8" borderId="30" xfId="2" applyNumberFormat="1" applyFont="1" applyFill="1" applyBorder="1" applyAlignment="1" applyProtection="1">
      <alignment horizontal="right"/>
      <protection locked="0"/>
    </xf>
    <xf numFmtId="177" fontId="10" fillId="0" borderId="12" xfId="2" applyNumberFormat="1" applyFont="1" applyBorder="1" applyAlignment="1" applyProtection="1">
      <alignment horizontal="right"/>
      <protection hidden="1"/>
    </xf>
    <xf numFmtId="169" fontId="10" fillId="0" borderId="31" xfId="2" applyNumberFormat="1" applyFont="1" applyBorder="1" applyAlignment="1" applyProtection="1">
      <alignment horizontal="right"/>
      <protection hidden="1"/>
    </xf>
    <xf numFmtId="169" fontId="10" fillId="0" borderId="30" xfId="2" applyNumberFormat="1" applyFont="1" applyBorder="1" applyAlignment="1" applyProtection="1">
      <alignment horizontal="right"/>
      <protection hidden="1"/>
    </xf>
    <xf numFmtId="167" fontId="11" fillId="0" borderId="0" xfId="2" applyNumberFormat="1" applyFont="1" applyAlignment="1" applyProtection="1">
      <alignment horizontal="right"/>
      <protection hidden="1"/>
    </xf>
    <xf numFmtId="167" fontId="11" fillId="0" borderId="30" xfId="2" applyNumberFormat="1" applyFont="1" applyBorder="1" applyAlignment="1" applyProtection="1">
      <alignment horizontal="right"/>
      <protection hidden="1"/>
    </xf>
    <xf numFmtId="0" fontId="26" fillId="8" borderId="0" xfId="0" applyFont="1" applyFill="1" applyAlignment="1" applyProtection="1">
      <alignment horizontal="center"/>
      <protection locked="0" hidden="1"/>
    </xf>
    <xf numFmtId="166" fontId="7" fillId="0" borderId="1" xfId="2" applyNumberFormat="1" applyFont="1" applyBorder="1" applyAlignment="1" applyProtection="1">
      <alignment horizontal="center"/>
      <protection hidden="1"/>
    </xf>
    <xf numFmtId="166" fontId="7" fillId="0" borderId="2" xfId="2" applyNumberFormat="1" applyFont="1" applyBorder="1" applyAlignment="1" applyProtection="1">
      <alignment horizontal="center"/>
      <protection hidden="1"/>
    </xf>
    <xf numFmtId="166" fontId="7" fillId="0" borderId="3" xfId="2" applyNumberFormat="1" applyFont="1" applyBorder="1" applyAlignment="1" applyProtection="1">
      <alignment horizontal="center"/>
      <protection hidden="1"/>
    </xf>
    <xf numFmtId="0" fontId="4" fillId="0" borderId="0" xfId="2" applyAlignment="1" applyProtection="1">
      <alignment horizontal="center" vertical="center" wrapText="1"/>
      <protection hidden="1"/>
    </xf>
    <xf numFmtId="167" fontId="4" fillId="8" borderId="1" xfId="2" applyNumberFormat="1" applyFill="1" applyBorder="1" applyAlignment="1" applyProtection="1">
      <alignment horizontal="center"/>
      <protection locked="0"/>
    </xf>
    <xf numFmtId="167" fontId="4" fillId="8" borderId="2" xfId="2" applyNumberFormat="1" applyFill="1" applyBorder="1" applyAlignment="1" applyProtection="1">
      <alignment horizontal="center"/>
      <protection locked="0"/>
    </xf>
    <xf numFmtId="167" fontId="4" fillId="8" borderId="3" xfId="2" applyNumberFormat="1" applyFill="1" applyBorder="1" applyAlignment="1" applyProtection="1">
      <alignment horizontal="center"/>
      <protection locked="0"/>
    </xf>
    <xf numFmtId="0" fontId="8" fillId="0" borderId="0" xfId="2" applyFont="1" applyAlignment="1" applyProtection="1">
      <alignment horizontal="right"/>
      <protection hidden="1"/>
    </xf>
    <xf numFmtId="0" fontId="8" fillId="0" borderId="13" xfId="2" applyFont="1" applyBorder="1" applyAlignment="1" applyProtection="1">
      <alignment horizontal="right"/>
      <protection hidden="1"/>
    </xf>
    <xf numFmtId="167" fontId="4" fillId="8" borderId="11" xfId="2" applyNumberFormat="1" applyFill="1" applyBorder="1" applyAlignment="1" applyProtection="1">
      <alignment horizontal="center"/>
      <protection locked="0"/>
    </xf>
    <xf numFmtId="168" fontId="4" fillId="8" borderId="1" xfId="2" applyNumberFormat="1" applyFill="1" applyBorder="1" applyAlignment="1" applyProtection="1">
      <alignment horizontal="center"/>
      <protection locked="0"/>
    </xf>
    <xf numFmtId="168" fontId="4" fillId="8" borderId="2" xfId="2" applyNumberFormat="1" applyFill="1" applyBorder="1" applyAlignment="1" applyProtection="1">
      <alignment horizontal="center"/>
      <protection locked="0"/>
    </xf>
    <xf numFmtId="168" fontId="4" fillId="8" borderId="3" xfId="2" applyNumberFormat="1" applyFill="1" applyBorder="1" applyAlignment="1" applyProtection="1">
      <alignment horizontal="center"/>
      <protection locked="0"/>
    </xf>
    <xf numFmtId="14" fontId="4" fillId="8" borderId="1" xfId="2" applyNumberFormat="1" applyFill="1" applyBorder="1" applyAlignment="1" applyProtection="1">
      <alignment horizontal="center"/>
      <protection locked="0"/>
    </xf>
    <xf numFmtId="14" fontId="4" fillId="8" borderId="2" xfId="2" applyNumberFormat="1" applyFill="1" applyBorder="1" applyAlignment="1" applyProtection="1">
      <alignment horizontal="center"/>
      <protection locked="0"/>
    </xf>
    <xf numFmtId="14" fontId="4" fillId="8" borderId="3" xfId="2" applyNumberFormat="1" applyFill="1" applyBorder="1" applyAlignment="1" applyProtection="1">
      <alignment horizontal="center"/>
      <protection locked="0"/>
    </xf>
    <xf numFmtId="0" fontId="0" fillId="8" borderId="0" xfId="0" applyFill="1" applyAlignment="1" applyProtection="1">
      <alignment horizontal="center"/>
      <protection locked="0"/>
    </xf>
    <xf numFmtId="0" fontId="4" fillId="0" borderId="18" xfId="2" applyBorder="1" applyAlignment="1" applyProtection="1">
      <alignment horizontal="right"/>
      <protection hidden="1"/>
    </xf>
    <xf numFmtId="0" fontId="4" fillId="0" borderId="19" xfId="2" applyBorder="1" applyAlignment="1" applyProtection="1">
      <alignment horizontal="right"/>
      <protection hidden="1"/>
    </xf>
    <xf numFmtId="0" fontId="4" fillId="0" borderId="20" xfId="2" applyBorder="1" applyAlignment="1" applyProtection="1">
      <alignment horizontal="right"/>
      <protection hidden="1"/>
    </xf>
    <xf numFmtId="169" fontId="10" fillId="0" borderId="18" xfId="2" applyNumberFormat="1" applyFont="1" applyBorder="1" applyAlignment="1" applyProtection="1">
      <alignment horizontal="center"/>
      <protection hidden="1"/>
    </xf>
    <xf numFmtId="169" fontId="10" fillId="0" borderId="19" xfId="2" applyNumberFormat="1" applyFont="1" applyBorder="1" applyAlignment="1" applyProtection="1">
      <alignment horizontal="center"/>
      <protection hidden="1"/>
    </xf>
    <xf numFmtId="169" fontId="10" fillId="0" borderId="20" xfId="2" applyNumberFormat="1" applyFont="1" applyBorder="1" applyAlignment="1" applyProtection="1">
      <alignment horizontal="center"/>
      <protection hidden="1"/>
    </xf>
    <xf numFmtId="169" fontId="10" fillId="8" borderId="18" xfId="2" applyNumberFormat="1" applyFont="1" applyFill="1" applyBorder="1" applyAlignment="1" applyProtection="1">
      <alignment horizontal="center"/>
      <protection locked="0"/>
    </xf>
    <xf numFmtId="169" fontId="10" fillId="8" borderId="19" xfId="2" applyNumberFormat="1" applyFont="1" applyFill="1" applyBorder="1" applyAlignment="1" applyProtection="1">
      <alignment horizontal="center"/>
      <protection locked="0"/>
    </xf>
    <xf numFmtId="169" fontId="10" fillId="8" borderId="20" xfId="2" applyNumberFormat="1" applyFont="1" applyFill="1" applyBorder="1" applyAlignment="1" applyProtection="1">
      <alignment horizontal="center"/>
      <protection locked="0"/>
    </xf>
    <xf numFmtId="0" fontId="4" fillId="0" borderId="11" xfId="2" applyBorder="1" applyAlignment="1" applyProtection="1">
      <alignment horizontal="left"/>
      <protection hidden="1"/>
    </xf>
    <xf numFmtId="0" fontId="0" fillId="0" borderId="19" xfId="0" applyBorder="1" applyAlignment="1" applyProtection="1">
      <alignment horizontal="left"/>
      <protection hidden="1"/>
    </xf>
    <xf numFmtId="0" fontId="0" fillId="0" borderId="20" xfId="0" applyBorder="1" applyAlignment="1" applyProtection="1">
      <alignment horizontal="left"/>
      <protection hidden="1"/>
    </xf>
    <xf numFmtId="0" fontId="4" fillId="0" borderId="20" xfId="2" applyBorder="1" applyAlignment="1" applyProtection="1">
      <alignment horizontal="left"/>
      <protection hidden="1"/>
    </xf>
    <xf numFmtId="0" fontId="4" fillId="0" borderId="9" xfId="2" applyBorder="1" applyAlignment="1" applyProtection="1">
      <alignment horizontal="right"/>
      <protection hidden="1"/>
    </xf>
    <xf numFmtId="0" fontId="4" fillId="0" borderId="10" xfId="2" applyBorder="1" applyAlignment="1" applyProtection="1">
      <alignment horizontal="right"/>
      <protection hidden="1"/>
    </xf>
    <xf numFmtId="0" fontId="4" fillId="0" borderId="11" xfId="2" applyBorder="1" applyAlignment="1" applyProtection="1">
      <alignment horizontal="right"/>
      <protection hidden="1"/>
    </xf>
    <xf numFmtId="169" fontId="10" fillId="0" borderId="12" xfId="2" applyNumberFormat="1" applyFont="1" applyBorder="1" applyProtection="1">
      <protection hidden="1"/>
    </xf>
    <xf numFmtId="169" fontId="10" fillId="0" borderId="0" xfId="2" applyNumberFormat="1" applyFont="1" applyProtection="1">
      <protection hidden="1"/>
    </xf>
    <xf numFmtId="169" fontId="10" fillId="0" borderId="13" xfId="2" applyNumberFormat="1" applyFont="1" applyBorder="1" applyProtection="1">
      <protection hidden="1"/>
    </xf>
    <xf numFmtId="169" fontId="10" fillId="8" borderId="9" xfId="2" applyNumberFormat="1" applyFont="1" applyFill="1" applyBorder="1" applyAlignment="1" applyProtection="1">
      <alignment horizontal="center"/>
      <protection locked="0"/>
    </xf>
    <xf numFmtId="169" fontId="10" fillId="8" borderId="10" xfId="2" applyNumberFormat="1" applyFont="1" applyFill="1" applyBorder="1" applyAlignment="1" applyProtection="1">
      <alignment horizontal="center"/>
      <protection locked="0"/>
    </xf>
    <xf numFmtId="169" fontId="10" fillId="8" borderId="11" xfId="2" applyNumberFormat="1" applyFont="1" applyFill="1" applyBorder="1" applyAlignment="1" applyProtection="1">
      <alignment horizontal="center"/>
      <protection locked="0"/>
    </xf>
    <xf numFmtId="0" fontId="4" fillId="0" borderId="12" xfId="2" applyBorder="1" applyAlignment="1" applyProtection="1">
      <alignment horizontal="right"/>
      <protection hidden="1"/>
    </xf>
    <xf numFmtId="0" fontId="4" fillId="0" borderId="13" xfId="2" applyBorder="1" applyAlignment="1" applyProtection="1">
      <alignment horizontal="right"/>
      <protection hidden="1"/>
    </xf>
    <xf numFmtId="169" fontId="10" fillId="0" borderId="12" xfId="2" applyNumberFormat="1" applyFont="1" applyBorder="1" applyAlignment="1" applyProtection="1">
      <alignment horizontal="center"/>
      <protection hidden="1"/>
    </xf>
    <xf numFmtId="169" fontId="10" fillId="0" borderId="0" xfId="2" applyNumberFormat="1" applyFont="1" applyAlignment="1" applyProtection="1">
      <alignment horizontal="center"/>
      <protection hidden="1"/>
    </xf>
    <xf numFmtId="169" fontId="10" fillId="0" borderId="13" xfId="2" applyNumberFormat="1" applyFont="1" applyBorder="1" applyAlignment="1" applyProtection="1">
      <alignment horizontal="center"/>
      <protection hidden="1"/>
    </xf>
    <xf numFmtId="169" fontId="10" fillId="8" borderId="12" xfId="2" applyNumberFormat="1" applyFont="1" applyFill="1" applyBorder="1" applyAlignment="1" applyProtection="1">
      <alignment horizontal="center"/>
      <protection locked="0"/>
    </xf>
    <xf numFmtId="169" fontId="10" fillId="8" borderId="0" xfId="2" applyNumberFormat="1" applyFont="1" applyFill="1" applyAlignment="1" applyProtection="1">
      <alignment horizontal="center"/>
      <protection locked="0"/>
    </xf>
    <xf numFmtId="169" fontId="10" fillId="8" borderId="13" xfId="2" applyNumberFormat="1" applyFont="1" applyFill="1" applyBorder="1" applyAlignment="1" applyProtection="1">
      <alignment horizontal="center"/>
      <protection locked="0"/>
    </xf>
    <xf numFmtId="0" fontId="7" fillId="0" borderId="0" xfId="0" applyFont="1" applyAlignment="1" applyProtection="1">
      <alignment horizontal="center"/>
      <protection hidden="1"/>
    </xf>
    <xf numFmtId="180" fontId="30" fillId="0" borderId="85" xfId="0" applyNumberFormat="1" applyFont="1" applyBorder="1" applyAlignment="1" applyProtection="1">
      <alignment horizontal="center" vertical="center"/>
      <protection hidden="1"/>
    </xf>
    <xf numFmtId="180" fontId="30" fillId="0" borderId="87" xfId="0" applyNumberFormat="1" applyFont="1" applyBorder="1" applyAlignment="1" applyProtection="1">
      <alignment horizontal="center" vertical="center"/>
      <protection hidden="1"/>
    </xf>
    <xf numFmtId="0" fontId="30" fillId="0" borderId="86" xfId="0" applyFont="1" applyBorder="1" applyAlignment="1" applyProtection="1">
      <alignment horizontal="center" vertical="center" wrapText="1"/>
      <protection hidden="1"/>
    </xf>
    <xf numFmtId="0" fontId="30" fillId="0" borderId="88" xfId="0" applyFont="1" applyBorder="1" applyAlignment="1" applyProtection="1">
      <alignment horizontal="center" vertical="center" wrapText="1"/>
      <protection hidden="1"/>
    </xf>
    <xf numFmtId="174" fontId="10" fillId="9" borderId="1" xfId="2" applyNumberFormat="1" applyFont="1" applyFill="1" applyBorder="1" applyAlignment="1" applyProtection="1">
      <alignment horizontal="center"/>
      <protection hidden="1"/>
    </xf>
    <xf numFmtId="174" fontId="10" fillId="9" borderId="2" xfId="2" applyNumberFormat="1" applyFont="1" applyFill="1" applyBorder="1" applyAlignment="1" applyProtection="1">
      <alignment horizontal="center"/>
      <protection hidden="1"/>
    </xf>
    <xf numFmtId="174" fontId="10" fillId="9" borderId="3" xfId="2" applyNumberFormat="1" applyFont="1" applyFill="1" applyBorder="1" applyAlignment="1" applyProtection="1">
      <alignment horizontal="center"/>
      <protection hidden="1"/>
    </xf>
    <xf numFmtId="0" fontId="4" fillId="8" borderId="12" xfId="2" applyFill="1" applyBorder="1" applyAlignment="1" applyProtection="1">
      <alignment horizontal="left"/>
      <protection hidden="1"/>
    </xf>
    <xf numFmtId="0" fontId="4" fillId="8" borderId="0" xfId="2" applyFill="1" applyAlignment="1" applyProtection="1">
      <alignment horizontal="left"/>
      <protection hidden="1"/>
    </xf>
    <xf numFmtId="0" fontId="4" fillId="8" borderId="101" xfId="2" applyFill="1" applyBorder="1" applyAlignment="1" applyProtection="1">
      <alignment horizontal="left"/>
      <protection hidden="1"/>
    </xf>
    <xf numFmtId="174" fontId="10" fillId="9" borderId="18" xfId="2" applyNumberFormat="1" applyFont="1" applyFill="1" applyBorder="1" applyAlignment="1" applyProtection="1">
      <alignment horizontal="center"/>
      <protection hidden="1"/>
    </xf>
    <xf numFmtId="174" fontId="10" fillId="9" borderId="19" xfId="2" applyNumberFormat="1" applyFont="1" applyFill="1" applyBorder="1" applyAlignment="1" applyProtection="1">
      <alignment horizontal="center"/>
      <protection hidden="1"/>
    </xf>
    <xf numFmtId="174" fontId="10" fillId="9" borderId="20" xfId="2" applyNumberFormat="1" applyFont="1" applyFill="1" applyBorder="1" applyAlignment="1" applyProtection="1">
      <alignment horizontal="center"/>
      <protection hidden="1"/>
    </xf>
    <xf numFmtId="174" fontId="10" fillId="9" borderId="12" xfId="2" applyNumberFormat="1" applyFont="1" applyFill="1" applyBorder="1" applyAlignment="1" applyProtection="1">
      <alignment horizontal="center"/>
      <protection hidden="1"/>
    </xf>
    <xf numFmtId="174" fontId="10" fillId="9" borderId="0" xfId="2" applyNumberFormat="1" applyFont="1" applyFill="1" applyAlignment="1" applyProtection="1">
      <alignment horizontal="center"/>
      <protection hidden="1"/>
    </xf>
    <xf numFmtId="174" fontId="10" fillId="9" borderId="101" xfId="2" applyNumberFormat="1" applyFont="1" applyFill="1" applyBorder="1" applyAlignment="1" applyProtection="1">
      <alignment horizontal="center"/>
      <protection hidden="1"/>
    </xf>
    <xf numFmtId="14" fontId="4" fillId="9" borderId="0" xfId="2" applyNumberFormat="1" applyFill="1" applyAlignment="1" applyProtection="1">
      <alignment horizontal="center"/>
      <protection hidden="1"/>
    </xf>
    <xf numFmtId="0" fontId="4" fillId="9" borderId="0" xfId="2" applyFill="1" applyAlignment="1" applyProtection="1">
      <alignment horizontal="center"/>
      <protection hidden="1"/>
    </xf>
    <xf numFmtId="169" fontId="4" fillId="9" borderId="76" xfId="1" applyNumberFormat="1" applyFont="1" applyFill="1" applyBorder="1" applyAlignment="1" applyProtection="1">
      <alignment horizontal="right"/>
      <protection hidden="1"/>
    </xf>
    <xf numFmtId="169" fontId="4" fillId="9" borderId="77" xfId="1" applyNumberFormat="1" applyFont="1" applyFill="1" applyBorder="1" applyAlignment="1" applyProtection="1">
      <alignment horizontal="right"/>
      <protection hidden="1"/>
    </xf>
    <xf numFmtId="169" fontId="4" fillId="9" borderId="78" xfId="1" applyNumberFormat="1" applyFont="1" applyFill="1" applyBorder="1" applyAlignment="1" applyProtection="1">
      <alignment horizontal="right"/>
      <protection hidden="1"/>
    </xf>
    <xf numFmtId="0" fontId="10" fillId="9" borderId="9" xfId="2" applyFont="1" applyFill="1" applyBorder="1" applyAlignment="1" applyProtection="1">
      <alignment horizontal="center"/>
      <protection hidden="1"/>
    </xf>
    <xf numFmtId="0" fontId="10" fillId="9" borderId="10" xfId="2" applyFont="1" applyFill="1" applyBorder="1" applyAlignment="1" applyProtection="1">
      <alignment horizontal="center"/>
      <protection hidden="1"/>
    </xf>
    <xf numFmtId="0" fontId="10" fillId="9" borderId="11" xfId="2" applyFont="1" applyFill="1" applyBorder="1" applyAlignment="1" applyProtection="1">
      <alignment horizontal="center"/>
      <protection hidden="1"/>
    </xf>
    <xf numFmtId="0" fontId="4" fillId="9" borderId="76" xfId="2" applyFill="1" applyBorder="1" applyAlignment="1" applyProtection="1">
      <alignment horizontal="left"/>
      <protection hidden="1"/>
    </xf>
    <xf numFmtId="0" fontId="4" fillId="9" borderId="77" xfId="2" applyFill="1" applyBorder="1" applyAlignment="1" applyProtection="1">
      <alignment horizontal="left"/>
      <protection hidden="1"/>
    </xf>
    <xf numFmtId="0" fontId="4" fillId="9" borderId="78" xfId="2" applyFill="1" applyBorder="1" applyAlignment="1" applyProtection="1">
      <alignment horizontal="left"/>
      <protection hidden="1"/>
    </xf>
    <xf numFmtId="0" fontId="9" fillId="8" borderId="69" xfId="2" applyFont="1" applyFill="1" applyBorder="1" applyAlignment="1" applyProtection="1">
      <alignment vertical="top" wrapText="1"/>
      <protection hidden="1"/>
    </xf>
    <xf numFmtId="0" fontId="9" fillId="8" borderId="70" xfId="2" applyFont="1" applyFill="1" applyBorder="1" applyAlignment="1" applyProtection="1">
      <alignment vertical="top" wrapText="1"/>
      <protection hidden="1"/>
    </xf>
    <xf numFmtId="0" fontId="9" fillId="8" borderId="71" xfId="2" applyFont="1" applyFill="1" applyBorder="1" applyAlignment="1" applyProtection="1">
      <alignment vertical="top" wrapText="1"/>
      <protection hidden="1"/>
    </xf>
    <xf numFmtId="0" fontId="9" fillId="8" borderId="73" xfId="2" applyFont="1" applyFill="1" applyBorder="1" applyAlignment="1" applyProtection="1">
      <alignment vertical="top" wrapText="1"/>
      <protection hidden="1"/>
    </xf>
    <xf numFmtId="0" fontId="9" fillId="8" borderId="74" xfId="2" applyFont="1" applyFill="1" applyBorder="1" applyAlignment="1" applyProtection="1">
      <alignment vertical="top" wrapText="1"/>
      <protection hidden="1"/>
    </xf>
    <xf numFmtId="0" fontId="9" fillId="8" borderId="75" xfId="2" applyFont="1" applyFill="1" applyBorder="1" applyAlignment="1" applyProtection="1">
      <alignment vertical="top" wrapText="1"/>
      <protection hidden="1"/>
    </xf>
    <xf numFmtId="0" fontId="4" fillId="9" borderId="76" xfId="2" quotePrefix="1" applyFill="1" applyBorder="1" applyAlignment="1" applyProtection="1">
      <alignment horizontal="left"/>
      <protection hidden="1"/>
    </xf>
    <xf numFmtId="0" fontId="10" fillId="8" borderId="0" xfId="2" applyFont="1" applyFill="1" applyAlignment="1" applyProtection="1">
      <alignment horizontal="center"/>
      <protection hidden="1"/>
    </xf>
    <xf numFmtId="0" fontId="10" fillId="8" borderId="13" xfId="2" applyFont="1" applyFill="1" applyBorder="1" applyAlignment="1" applyProtection="1">
      <alignment horizontal="center"/>
      <protection hidden="1"/>
    </xf>
    <xf numFmtId="169" fontId="10" fillId="8" borderId="12" xfId="2" applyNumberFormat="1" applyFont="1" applyFill="1" applyBorder="1" applyAlignment="1" applyProtection="1">
      <alignment horizontal="center"/>
      <protection hidden="1"/>
    </xf>
    <xf numFmtId="169" fontId="10" fillId="8" borderId="0" xfId="2" applyNumberFormat="1" applyFont="1" applyFill="1" applyAlignment="1" applyProtection="1">
      <alignment horizontal="center"/>
      <protection hidden="1"/>
    </xf>
    <xf numFmtId="169" fontId="10" fillId="8" borderId="13" xfId="2" applyNumberFormat="1" applyFont="1" applyFill="1" applyBorder="1" applyAlignment="1" applyProtection="1">
      <alignment horizontal="center"/>
      <protection hidden="1"/>
    </xf>
    <xf numFmtId="169" fontId="10" fillId="8" borderId="18" xfId="2" applyNumberFormat="1" applyFont="1" applyFill="1" applyBorder="1" applyAlignment="1" applyProtection="1">
      <alignment horizontal="center"/>
      <protection hidden="1"/>
    </xf>
    <xf numFmtId="169" fontId="10" fillId="8" borderId="19" xfId="2" applyNumberFormat="1" applyFont="1" applyFill="1" applyBorder="1" applyAlignment="1" applyProtection="1">
      <alignment horizontal="center"/>
      <protection hidden="1"/>
    </xf>
    <xf numFmtId="169" fontId="10" fillId="8" borderId="20" xfId="2" applyNumberFormat="1" applyFont="1" applyFill="1" applyBorder="1" applyAlignment="1" applyProtection="1">
      <alignment horizontal="center"/>
      <protection hidden="1"/>
    </xf>
    <xf numFmtId="172" fontId="10" fillId="9" borderId="72" xfId="1" applyNumberFormat="1" applyFont="1" applyFill="1" applyBorder="1" applyAlignment="1" applyProtection="1">
      <alignment horizontal="center"/>
      <protection hidden="1"/>
    </xf>
    <xf numFmtId="169" fontId="10" fillId="8" borderId="9" xfId="2" applyNumberFormat="1" applyFont="1" applyFill="1" applyBorder="1" applyAlignment="1" applyProtection="1">
      <alignment horizontal="center"/>
      <protection hidden="1"/>
    </xf>
    <xf numFmtId="169" fontId="10" fillId="8" borderId="10" xfId="2" applyNumberFormat="1" applyFont="1" applyFill="1" applyBorder="1" applyAlignment="1" applyProtection="1">
      <alignment horizontal="center"/>
      <protection hidden="1"/>
    </xf>
    <xf numFmtId="169" fontId="10" fillId="8" borderId="11" xfId="2" applyNumberFormat="1" applyFont="1" applyFill="1" applyBorder="1" applyAlignment="1" applyProtection="1">
      <alignment horizontal="center"/>
      <protection hidden="1"/>
    </xf>
    <xf numFmtId="169" fontId="10" fillId="9" borderId="28" xfId="2" applyNumberFormat="1" applyFont="1" applyFill="1" applyBorder="1" applyAlignment="1" applyProtection="1">
      <alignment horizontal="right"/>
      <protection hidden="1"/>
    </xf>
    <xf numFmtId="0" fontId="4" fillId="8" borderId="19" xfId="2" applyFill="1" applyBorder="1" applyAlignment="1" applyProtection="1">
      <alignment horizontal="center"/>
      <protection hidden="1"/>
    </xf>
    <xf numFmtId="0" fontId="4" fillId="8" borderId="37" xfId="2" applyFill="1" applyBorder="1" applyAlignment="1" applyProtection="1">
      <alignment horizontal="center"/>
      <protection hidden="1"/>
    </xf>
    <xf numFmtId="169" fontId="10" fillId="8" borderId="33" xfId="2" applyNumberFormat="1" applyFont="1" applyFill="1" applyBorder="1" applyAlignment="1" applyProtection="1">
      <alignment horizontal="right"/>
      <protection hidden="1"/>
    </xf>
    <xf numFmtId="173" fontId="10" fillId="8" borderId="14" xfId="2" applyNumberFormat="1" applyFont="1" applyFill="1" applyBorder="1" applyAlignment="1" applyProtection="1">
      <alignment horizontal="right"/>
      <protection hidden="1"/>
    </xf>
    <xf numFmtId="173" fontId="10" fillId="8" borderId="15" xfId="2" applyNumberFormat="1" applyFont="1" applyFill="1" applyBorder="1" applyAlignment="1" applyProtection="1">
      <alignment horizontal="right"/>
      <protection hidden="1"/>
    </xf>
    <xf numFmtId="173" fontId="10" fillId="8" borderId="25" xfId="2" applyNumberFormat="1" applyFont="1" applyFill="1" applyBorder="1" applyAlignment="1" applyProtection="1">
      <alignment horizontal="right"/>
      <protection hidden="1"/>
    </xf>
    <xf numFmtId="169" fontId="10" fillId="8" borderId="14" xfId="1" applyNumberFormat="1" applyFont="1" applyFill="1" applyBorder="1" applyAlignment="1" applyProtection="1">
      <alignment horizontal="right"/>
      <protection hidden="1"/>
    </xf>
    <xf numFmtId="169" fontId="10" fillId="8" borderId="15" xfId="1" applyNumberFormat="1" applyFont="1" applyFill="1" applyBorder="1" applyAlignment="1" applyProtection="1">
      <alignment horizontal="right"/>
      <protection hidden="1"/>
    </xf>
    <xf numFmtId="169" fontId="10" fillId="8" borderId="25" xfId="1" applyNumberFormat="1" applyFont="1" applyFill="1" applyBorder="1" applyAlignment="1" applyProtection="1">
      <alignment horizontal="right"/>
      <protection hidden="1"/>
    </xf>
    <xf numFmtId="167" fontId="10" fillId="8" borderId="31" xfId="2" applyNumberFormat="1" applyFont="1" applyFill="1" applyBorder="1" applyAlignment="1" applyProtection="1">
      <alignment horizontal="right"/>
      <protection hidden="1"/>
    </xf>
    <xf numFmtId="167" fontId="10" fillId="8" borderId="0" xfId="2" applyNumberFormat="1" applyFont="1" applyFill="1" applyAlignment="1" applyProtection="1">
      <alignment horizontal="right"/>
      <protection hidden="1"/>
    </xf>
    <xf numFmtId="167" fontId="10" fillId="8" borderId="30" xfId="2" applyNumberFormat="1" applyFont="1" applyFill="1" applyBorder="1" applyAlignment="1" applyProtection="1">
      <alignment horizontal="right"/>
      <protection hidden="1"/>
    </xf>
    <xf numFmtId="169" fontId="10" fillId="8" borderId="31" xfId="1" applyNumberFormat="1" applyFont="1" applyFill="1" applyBorder="1" applyAlignment="1" applyProtection="1">
      <alignment horizontal="right"/>
      <protection hidden="1"/>
    </xf>
    <xf numFmtId="169" fontId="10" fillId="8" borderId="0" xfId="1" applyNumberFormat="1" applyFont="1" applyFill="1" applyBorder="1" applyAlignment="1" applyProtection="1">
      <alignment horizontal="right"/>
      <protection hidden="1"/>
    </xf>
    <xf numFmtId="169" fontId="10" fillId="8" borderId="30" xfId="1" applyNumberFormat="1" applyFont="1" applyFill="1" applyBorder="1" applyAlignment="1" applyProtection="1">
      <alignment horizontal="right"/>
      <protection hidden="1"/>
    </xf>
    <xf numFmtId="173" fontId="10" fillId="8" borderId="31" xfId="2" applyNumberFormat="1" applyFont="1" applyFill="1" applyBorder="1" applyAlignment="1" applyProtection="1">
      <alignment horizontal="right"/>
      <protection hidden="1"/>
    </xf>
    <xf numFmtId="173" fontId="10" fillId="8" borderId="0" xfId="2" applyNumberFormat="1" applyFont="1" applyFill="1" applyAlignment="1" applyProtection="1">
      <alignment horizontal="right"/>
      <protection hidden="1"/>
    </xf>
    <xf numFmtId="173" fontId="10" fillId="8" borderId="30" xfId="2" applyNumberFormat="1" applyFont="1" applyFill="1" applyBorder="1" applyAlignment="1" applyProtection="1">
      <alignment horizontal="right"/>
      <protection hidden="1"/>
    </xf>
    <xf numFmtId="175" fontId="10" fillId="9" borderId="33" xfId="2" applyNumberFormat="1" applyFont="1" applyFill="1" applyBorder="1" applyAlignment="1" applyProtection="1">
      <alignment horizontal="right"/>
      <protection hidden="1"/>
    </xf>
    <xf numFmtId="169" fontId="10" fillId="9" borderId="33" xfId="1" applyNumberFormat="1" applyFont="1" applyFill="1" applyBorder="1" applyAlignment="1" applyProtection="1">
      <alignment horizontal="right"/>
      <protection hidden="1"/>
    </xf>
    <xf numFmtId="167" fontId="9" fillId="0" borderId="33" xfId="2" applyNumberFormat="1" applyFont="1" applyBorder="1" applyAlignment="1" applyProtection="1">
      <alignment horizontal="center"/>
      <protection hidden="1"/>
    </xf>
    <xf numFmtId="167" fontId="9" fillId="0" borderId="0" xfId="2" applyNumberFormat="1" applyFont="1" applyAlignment="1" applyProtection="1">
      <alignment horizontal="center"/>
      <protection hidden="1"/>
    </xf>
    <xf numFmtId="167" fontId="9" fillId="0" borderId="81" xfId="2" applyNumberFormat="1" applyFont="1" applyBorder="1" applyAlignment="1" applyProtection="1">
      <alignment horizontal="center"/>
      <protection hidden="1"/>
    </xf>
    <xf numFmtId="0" fontId="0" fillId="8" borderId="0" xfId="0" applyFill="1" applyAlignment="1" applyProtection="1">
      <alignment horizontal="center"/>
      <protection hidden="1"/>
    </xf>
    <xf numFmtId="169" fontId="10" fillId="9" borderId="39" xfId="2" applyNumberFormat="1" applyFont="1" applyFill="1" applyBorder="1" applyAlignment="1" applyProtection="1">
      <alignment horizontal="right"/>
      <protection hidden="1"/>
    </xf>
    <xf numFmtId="169" fontId="10" fillId="9" borderId="40" xfId="2" applyNumberFormat="1" applyFont="1" applyFill="1" applyBorder="1" applyAlignment="1" applyProtection="1">
      <alignment horizontal="right"/>
      <protection hidden="1"/>
    </xf>
    <xf numFmtId="169" fontId="10" fillId="9" borderId="41" xfId="2" applyNumberFormat="1" applyFont="1" applyFill="1" applyBorder="1" applyAlignment="1" applyProtection="1">
      <alignment horizontal="right"/>
      <protection hidden="1"/>
    </xf>
    <xf numFmtId="169" fontId="10" fillId="9" borderId="31" xfId="2" applyNumberFormat="1" applyFont="1" applyFill="1" applyBorder="1" applyAlignment="1" applyProtection="1">
      <alignment horizontal="right"/>
      <protection hidden="1"/>
    </xf>
    <xf numFmtId="169" fontId="10" fillId="9" borderId="0" xfId="2" applyNumberFormat="1" applyFont="1" applyFill="1" applyAlignment="1" applyProtection="1">
      <alignment horizontal="right"/>
      <protection hidden="1"/>
    </xf>
    <xf numFmtId="169" fontId="10" fillId="9" borderId="30" xfId="2" applyNumberFormat="1" applyFont="1" applyFill="1" applyBorder="1" applyAlignment="1" applyProtection="1">
      <alignment horizontal="right"/>
      <protection hidden="1"/>
    </xf>
    <xf numFmtId="0" fontId="8" fillId="8" borderId="18" xfId="2" applyFont="1" applyFill="1" applyBorder="1" applyAlignment="1" applyProtection="1">
      <alignment horizontal="left"/>
      <protection hidden="1"/>
    </xf>
    <xf numFmtId="0" fontId="8" fillId="8" borderId="19" xfId="2" applyFont="1" applyFill="1" applyBorder="1" applyAlignment="1" applyProtection="1">
      <alignment horizontal="left"/>
      <protection hidden="1"/>
    </xf>
    <xf numFmtId="0" fontId="8" fillId="8" borderId="20" xfId="2" applyFont="1" applyFill="1" applyBorder="1" applyAlignment="1" applyProtection="1">
      <alignment horizontal="left"/>
      <protection hidden="1"/>
    </xf>
    <xf numFmtId="169" fontId="10" fillId="9" borderId="12" xfId="2" applyNumberFormat="1" applyFont="1" applyFill="1" applyBorder="1" applyAlignment="1" applyProtection="1">
      <alignment horizontal="right"/>
      <protection hidden="1"/>
    </xf>
    <xf numFmtId="169" fontId="10" fillId="9" borderId="13" xfId="2" applyNumberFormat="1" applyFont="1" applyFill="1" applyBorder="1" applyAlignment="1" applyProtection="1">
      <alignment horizontal="right"/>
      <protection hidden="1"/>
    </xf>
    <xf numFmtId="0" fontId="8" fillId="8" borderId="12" xfId="2" applyFont="1" applyFill="1" applyBorder="1" applyAlignment="1" applyProtection="1">
      <alignment horizontal="left"/>
      <protection hidden="1"/>
    </xf>
    <xf numFmtId="0" fontId="8" fillId="8" borderId="0" xfId="2" applyFont="1" applyFill="1" applyAlignment="1" applyProtection="1">
      <alignment horizontal="left"/>
      <protection hidden="1"/>
    </xf>
    <xf numFmtId="0" fontId="8" fillId="8" borderId="13" xfId="2" applyFont="1" applyFill="1" applyBorder="1" applyAlignment="1" applyProtection="1">
      <alignment horizontal="left"/>
      <protection hidden="1"/>
    </xf>
    <xf numFmtId="169" fontId="11" fillId="0" borderId="13" xfId="2" applyNumberFormat="1" applyFont="1" applyBorder="1" applyAlignment="1" applyProtection="1">
      <alignment horizontal="right"/>
      <protection hidden="1"/>
    </xf>
    <xf numFmtId="0" fontId="8" fillId="8" borderId="9" xfId="2" applyFont="1" applyFill="1" applyBorder="1" applyAlignment="1" applyProtection="1">
      <alignment horizontal="left"/>
      <protection hidden="1"/>
    </xf>
    <xf numFmtId="0" fontId="8" fillId="8" borderId="10" xfId="2" applyFont="1" applyFill="1" applyBorder="1" applyAlignment="1" applyProtection="1">
      <alignment horizontal="left"/>
      <protection hidden="1"/>
    </xf>
    <xf numFmtId="0" fontId="8" fillId="8" borderId="11" xfId="2" applyFont="1" applyFill="1" applyBorder="1" applyAlignment="1" applyProtection="1">
      <alignment horizontal="left"/>
      <protection hidden="1"/>
    </xf>
    <xf numFmtId="167" fontId="11" fillId="8" borderId="0" xfId="2" applyNumberFormat="1" applyFont="1" applyFill="1" applyAlignment="1" applyProtection="1">
      <alignment horizontal="right"/>
      <protection hidden="1"/>
    </xf>
    <xf numFmtId="167" fontId="11" fillId="8" borderId="30" xfId="2" applyNumberFormat="1" applyFont="1" applyFill="1" applyBorder="1" applyAlignment="1" applyProtection="1">
      <alignment horizontal="right"/>
      <protection hidden="1"/>
    </xf>
    <xf numFmtId="0" fontId="4" fillId="8" borderId="19" xfId="2" applyFill="1" applyBorder="1" applyAlignment="1" applyProtection="1">
      <alignment horizontal="left"/>
      <protection hidden="1"/>
    </xf>
    <xf numFmtId="0" fontId="4" fillId="8" borderId="20" xfId="2" applyFill="1" applyBorder="1" applyAlignment="1" applyProtection="1">
      <alignment horizontal="left"/>
      <protection hidden="1"/>
    </xf>
    <xf numFmtId="167" fontId="4" fillId="8" borderId="1" xfId="2" applyNumberFormat="1" applyFill="1" applyBorder="1" applyAlignment="1" applyProtection="1">
      <alignment horizontal="center"/>
      <protection hidden="1"/>
    </xf>
    <xf numFmtId="167" fontId="4" fillId="8" borderId="2" xfId="2" applyNumberFormat="1" applyFill="1" applyBorder="1" applyAlignment="1" applyProtection="1">
      <alignment horizontal="center"/>
      <protection hidden="1"/>
    </xf>
    <xf numFmtId="167" fontId="4" fillId="8" borderId="3" xfId="2" applyNumberFormat="1" applyFill="1" applyBorder="1" applyAlignment="1" applyProtection="1">
      <alignment horizontal="center"/>
      <protection hidden="1"/>
    </xf>
    <xf numFmtId="167" fontId="4" fillId="8" borderId="11" xfId="2" applyNumberFormat="1" applyFill="1" applyBorder="1" applyAlignment="1" applyProtection="1">
      <alignment horizontal="center"/>
      <protection hidden="1"/>
    </xf>
    <xf numFmtId="168" fontId="4" fillId="8" borderId="1" xfId="2" applyNumberFormat="1" applyFill="1" applyBorder="1" applyAlignment="1" applyProtection="1">
      <alignment horizontal="center"/>
      <protection hidden="1"/>
    </xf>
    <xf numFmtId="168" fontId="4" fillId="8" borderId="2" xfId="2" applyNumberFormat="1" applyFill="1" applyBorder="1" applyAlignment="1" applyProtection="1">
      <alignment horizontal="center"/>
      <protection hidden="1"/>
    </xf>
    <xf numFmtId="168" fontId="4" fillId="8" borderId="3" xfId="2" applyNumberFormat="1" applyFill="1" applyBorder="1" applyAlignment="1" applyProtection="1">
      <alignment horizontal="center"/>
      <protection hidden="1"/>
    </xf>
    <xf numFmtId="9" fontId="4" fillId="8" borderId="4" xfId="1" applyFont="1" applyFill="1" applyBorder="1" applyAlignment="1" applyProtection="1">
      <alignment horizontal="center"/>
      <protection hidden="1"/>
    </xf>
    <xf numFmtId="9" fontId="4" fillId="8" borderId="21" xfId="1" applyFont="1" applyFill="1" applyBorder="1" applyAlignment="1" applyProtection="1">
      <alignment horizontal="center"/>
      <protection hidden="1"/>
    </xf>
    <xf numFmtId="9" fontId="4" fillId="8" borderId="1" xfId="1" applyFont="1" applyFill="1" applyBorder="1" applyAlignment="1" applyProtection="1">
      <alignment horizontal="center"/>
      <protection hidden="1"/>
    </xf>
    <xf numFmtId="9" fontId="4" fillId="8" borderId="3" xfId="1" applyFont="1" applyFill="1" applyBorder="1" applyAlignment="1" applyProtection="1">
      <alignment horizontal="center"/>
      <protection hidden="1"/>
    </xf>
    <xf numFmtId="0" fontId="4" fillId="8" borderId="13" xfId="2" applyFill="1" applyBorder="1" applyAlignment="1" applyProtection="1">
      <alignment horizontal="left"/>
      <protection hidden="1"/>
    </xf>
    <xf numFmtId="0" fontId="4" fillId="8" borderId="10" xfId="2" applyFill="1" applyBorder="1" applyAlignment="1" applyProtection="1">
      <alignment horizontal="left"/>
      <protection hidden="1"/>
    </xf>
    <xf numFmtId="0" fontId="4" fillId="8" borderId="11" xfId="2" applyFill="1" applyBorder="1" applyAlignment="1" applyProtection="1">
      <alignment horizontal="left"/>
      <protection hidden="1"/>
    </xf>
    <xf numFmtId="0" fontId="0" fillId="0" borderId="72" xfId="0" applyBorder="1" applyAlignment="1" applyProtection="1">
      <alignment horizontal="center"/>
      <protection hidden="1"/>
    </xf>
    <xf numFmtId="0" fontId="51" fillId="0" borderId="72" xfId="0" applyFont="1" applyBorder="1" applyAlignment="1" applyProtection="1">
      <alignment horizontal="center"/>
      <protection hidden="1"/>
    </xf>
    <xf numFmtId="0" fontId="3" fillId="0" borderId="0" xfId="0" applyFont="1" applyAlignment="1" applyProtection="1">
      <alignment horizontal="center"/>
      <protection hidden="1"/>
    </xf>
    <xf numFmtId="164" fontId="7" fillId="8" borderId="6" xfId="2" applyNumberFormat="1" applyFont="1" applyFill="1" applyBorder="1" applyAlignment="1" applyProtection="1">
      <alignment horizontal="center"/>
      <protection hidden="1"/>
    </xf>
    <xf numFmtId="164" fontId="7" fillId="8" borderId="7" xfId="2" applyNumberFormat="1" applyFont="1" applyFill="1" applyBorder="1" applyAlignment="1" applyProtection="1">
      <alignment horizontal="center"/>
      <protection hidden="1"/>
    </xf>
    <xf numFmtId="164" fontId="7" fillId="8" borderId="8" xfId="2" applyNumberFormat="1" applyFont="1" applyFill="1" applyBorder="1" applyAlignment="1" applyProtection="1">
      <alignment horizontal="center"/>
      <protection hidden="1"/>
    </xf>
    <xf numFmtId="0" fontId="4" fillId="8" borderId="1" xfId="2" applyFill="1" applyBorder="1" applyAlignment="1" applyProtection="1">
      <alignment horizontal="center"/>
      <protection hidden="1"/>
    </xf>
    <xf numFmtId="0" fontId="4" fillId="8" borderId="2" xfId="2" applyFill="1" applyBorder="1" applyAlignment="1" applyProtection="1">
      <alignment horizontal="center"/>
      <protection hidden="1"/>
    </xf>
    <xf numFmtId="0" fontId="4" fillId="8" borderId="3" xfId="2" applyFill="1" applyBorder="1" applyAlignment="1" applyProtection="1">
      <alignment horizontal="center"/>
      <protection hidden="1"/>
    </xf>
    <xf numFmtId="0" fontId="26" fillId="8" borderId="0" xfId="0" applyFont="1" applyFill="1" applyAlignment="1" applyProtection="1">
      <alignment horizontal="center"/>
      <protection hidden="1"/>
    </xf>
    <xf numFmtId="14" fontId="4" fillId="8" borderId="1" xfId="2" applyNumberFormat="1" applyFill="1" applyBorder="1" applyAlignment="1" applyProtection="1">
      <alignment horizontal="center"/>
      <protection hidden="1"/>
    </xf>
    <xf numFmtId="14" fontId="4" fillId="8" borderId="2" xfId="2" applyNumberFormat="1" applyFill="1" applyBorder="1" applyAlignment="1" applyProtection="1">
      <alignment horizontal="center"/>
      <protection hidden="1"/>
    </xf>
    <xf numFmtId="14" fontId="4" fillId="8" borderId="3" xfId="2" applyNumberFormat="1" applyFill="1" applyBorder="1" applyAlignment="1" applyProtection="1">
      <alignment horizontal="center"/>
      <protection hidden="1"/>
    </xf>
    <xf numFmtId="0" fontId="10" fillId="0" borderId="12" xfId="2" applyFont="1" applyBorder="1"/>
    <xf numFmtId="171" fontId="10" fillId="0" borderId="36" xfId="1" applyNumberFormat="1" applyFont="1" applyBorder="1" applyAlignment="1">
      <alignment horizontal="right"/>
    </xf>
    <xf numFmtId="0" fontId="10" fillId="0" borderId="20" xfId="2" applyFont="1" applyBorder="1"/>
  </cellXfs>
  <cellStyles count="4">
    <cellStyle name="Excel Built-in Normal" xfId="2" xr:uid="{00000000-0005-0000-0000-000000000000}"/>
    <cellStyle name="Monétaire" xfId="3" builtinId="4"/>
    <cellStyle name="Normal" xfId="0" builtinId="0"/>
    <cellStyle name="Pourcentage" xfId="1" builtinId="5"/>
  </cellStyles>
  <dxfs count="109">
    <dxf>
      <fill>
        <patternFill>
          <bgColor rgb="FFFF0000"/>
        </patternFill>
      </fill>
    </dxf>
    <dxf>
      <fill>
        <patternFill>
          <bgColor rgb="FFFF0000"/>
        </patternFill>
      </fill>
    </dxf>
    <dxf>
      <font>
        <b val="0"/>
        <condense val="0"/>
        <extend val="0"/>
        <color indexed="42"/>
      </font>
    </dxf>
    <dxf>
      <font>
        <b val="0"/>
        <condense val="0"/>
        <extend val="0"/>
        <color indexed="42"/>
      </font>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ill>
        <patternFill>
          <bgColor rgb="FFFF0000"/>
        </patternFill>
      </fill>
    </dxf>
    <dxf>
      <fill>
        <patternFill>
          <bgColor rgb="FFFF0000"/>
        </patternFill>
      </fill>
    </dxf>
    <dxf>
      <font>
        <b val="0"/>
        <condense val="0"/>
        <extend val="0"/>
        <color indexed="42"/>
      </font>
    </dxf>
    <dxf>
      <font>
        <b val="0"/>
        <condense val="0"/>
        <extend val="0"/>
        <color indexed="42"/>
      </font>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ill>
        <patternFill>
          <bgColor rgb="FFFF0000"/>
        </patternFill>
      </fill>
    </dxf>
    <dxf>
      <fill>
        <patternFill>
          <bgColor rgb="FFFF0000"/>
        </patternFill>
      </fill>
    </dxf>
    <dxf>
      <font>
        <b val="0"/>
        <condense val="0"/>
        <extend val="0"/>
        <color indexed="42"/>
      </font>
    </dxf>
    <dxf>
      <font>
        <b val="0"/>
        <condense val="0"/>
        <extend val="0"/>
        <color indexed="42"/>
      </font>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theme="0"/>
      </font>
      <fill>
        <patternFill patternType="none">
          <bgColor auto="1"/>
        </patternFill>
      </fill>
    </dxf>
    <dxf>
      <fill>
        <patternFill>
          <bgColor theme="9" tint="0.59996337778862885"/>
        </patternFill>
      </fill>
    </dxf>
    <dxf>
      <fill>
        <patternFill>
          <bgColor theme="9" tint="0.59996337778862885"/>
        </patternFill>
      </fill>
    </dxf>
    <dxf>
      <font>
        <color theme="0"/>
      </font>
    </dxf>
    <dxf>
      <font>
        <color theme="0"/>
      </font>
    </dxf>
    <dxf>
      <font>
        <color theme="0"/>
      </font>
      <fill>
        <patternFill patternType="none">
          <bgColor auto="1"/>
        </patternFill>
      </fill>
    </dxf>
    <dxf>
      <font>
        <color theme="0"/>
      </font>
    </dxf>
    <dxf>
      <font>
        <color theme="0"/>
      </font>
    </dxf>
    <dxf>
      <font>
        <color rgb="FFF15C5A"/>
      </font>
      <fill>
        <patternFill patternType="none">
          <bgColor auto="1"/>
        </patternFill>
      </fill>
    </dxf>
    <dxf>
      <fill>
        <patternFill>
          <bgColor rgb="FFFF0000"/>
        </patternFill>
      </fill>
    </dxf>
    <dxf>
      <fill>
        <patternFill>
          <bgColor rgb="FFFF0000"/>
        </patternFill>
      </fill>
    </dxf>
    <dxf>
      <font>
        <b val="0"/>
        <condense val="0"/>
        <extend val="0"/>
        <color indexed="42"/>
      </font>
    </dxf>
    <dxf>
      <font>
        <b val="0"/>
        <condense val="0"/>
        <extend val="0"/>
        <color indexed="42"/>
      </font>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s>
  <tableStyles count="0" defaultTableStyle="TableStyleMedium2" defaultPivotStyle="PivotStyleLight16"/>
  <colors>
    <mruColors>
      <color rgb="FFF15C5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49</xdr:col>
      <xdr:colOff>0</xdr:colOff>
      <xdr:row>2</xdr:row>
      <xdr:rowOff>0</xdr:rowOff>
    </xdr:from>
    <xdr:to>
      <xdr:col>52</xdr:col>
      <xdr:colOff>609600</xdr:colOff>
      <xdr:row>6</xdr:row>
      <xdr:rowOff>167217</xdr:rowOff>
    </xdr:to>
    <xdr:sp macro="" textlink="">
      <xdr:nvSpPr>
        <xdr:cNvPr id="3" name="ZoneTexte 2">
          <a:extLst>
            <a:ext uri="{FF2B5EF4-FFF2-40B4-BE49-F238E27FC236}">
              <a16:creationId xmlns:a16="http://schemas.microsoft.com/office/drawing/2014/main" id="{F5E25A6E-0F95-43EF-8DD7-E83FC6E00755}"/>
            </a:ext>
          </a:extLst>
        </xdr:cNvPr>
        <xdr:cNvSpPr txBox="1"/>
      </xdr:nvSpPr>
      <xdr:spPr>
        <a:xfrm>
          <a:off x="14594417" y="381000"/>
          <a:ext cx="2895600" cy="971550"/>
        </a:xfrm>
        <a:prstGeom prst="rect">
          <a:avLst/>
        </a:prstGeom>
        <a:noFill/>
        <a:ln w="2857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Vous</a:t>
          </a:r>
          <a:r>
            <a:rPr lang="fr-FR" sz="1100" baseline="0"/>
            <a:t> avez besoin d'un accompagnement pour l'utilisation de ce simulateur, n'hésitez pas à envoyer un mail à :</a:t>
          </a:r>
        </a:p>
        <a:p>
          <a:r>
            <a:rPr lang="fr-FR" sz="1100" b="1" baseline="0"/>
            <a:t>fo.outils@gmail.com</a:t>
          </a:r>
          <a:endParaRPr lang="fr-FR" sz="1100" b="1"/>
        </a:p>
      </xdr:txBody>
    </xdr:sp>
    <xdr:clientData/>
  </xdr:twoCellAnchor>
  <xdr:oneCellAnchor>
    <xdr:from>
      <xdr:col>42</xdr:col>
      <xdr:colOff>117701</xdr:colOff>
      <xdr:row>4</xdr:row>
      <xdr:rowOff>126999</xdr:rowOff>
    </xdr:from>
    <xdr:ext cx="8671092" cy="937629"/>
    <xdr:sp macro="" textlink="">
      <xdr:nvSpPr>
        <xdr:cNvPr id="2" name="Rectangle 1">
          <a:extLst>
            <a:ext uri="{FF2B5EF4-FFF2-40B4-BE49-F238E27FC236}">
              <a16:creationId xmlns:a16="http://schemas.microsoft.com/office/drawing/2014/main" id="{C96C045F-F88E-4125-A2FB-B414A459F237}"/>
            </a:ext>
          </a:extLst>
        </xdr:cNvPr>
        <xdr:cNvSpPr/>
      </xdr:nvSpPr>
      <xdr:spPr>
        <a:xfrm>
          <a:off x="9949618" y="931332"/>
          <a:ext cx="8671092" cy="937629"/>
        </a:xfrm>
        <a:prstGeom prst="rect">
          <a:avLst/>
        </a:prstGeom>
        <a:noFill/>
      </xdr:spPr>
      <xdr:txBody>
        <a:bodyPr wrap="none" lIns="91440" tIns="45720" rIns="91440" bIns="45720">
          <a:spAutoFit/>
        </a:bodyPr>
        <a:lstStyle/>
        <a:p>
          <a:pPr algn="ctr"/>
          <a:r>
            <a:rPr lang="fr-FR" sz="5400" b="1" cap="none" spc="0">
              <a:ln w="22225">
                <a:solidFill>
                  <a:schemeClr val="accent2"/>
                </a:solidFill>
                <a:prstDash val="solid"/>
              </a:ln>
              <a:solidFill>
                <a:schemeClr val="accent2">
                  <a:lumMod val="40000"/>
                  <a:lumOff val="60000"/>
                </a:schemeClr>
              </a:solidFill>
              <a:effectLst/>
            </a:rPr>
            <a:t>Version</a:t>
          </a:r>
          <a:r>
            <a:rPr lang="fr-FR" sz="5400" b="1" cap="none" spc="0" baseline="0">
              <a:ln w="22225">
                <a:solidFill>
                  <a:schemeClr val="accent2"/>
                </a:solidFill>
                <a:prstDash val="solid"/>
              </a:ln>
              <a:solidFill>
                <a:schemeClr val="accent2">
                  <a:lumMod val="40000"/>
                  <a:lumOff val="60000"/>
                </a:schemeClr>
              </a:solidFill>
              <a:effectLst/>
            </a:rPr>
            <a:t> St Pierre et Miquelon</a:t>
          </a:r>
          <a:endParaRPr lang="fr-FR"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2</xdr:row>
      <xdr:rowOff>19050</xdr:rowOff>
    </xdr:from>
    <xdr:to>
      <xdr:col>2</xdr:col>
      <xdr:colOff>178026</xdr:colOff>
      <xdr:row>8</xdr:row>
      <xdr:rowOff>102199</xdr:rowOff>
    </xdr:to>
    <xdr:pic>
      <xdr:nvPicPr>
        <xdr:cNvPr id="6" name="Image 5">
          <a:extLst>
            <a:ext uri="{FF2B5EF4-FFF2-40B4-BE49-F238E27FC236}">
              <a16:creationId xmlns:a16="http://schemas.microsoft.com/office/drawing/2014/main" id="{AAE2C5EC-075F-D926-1E11-923A4BBBA86E}"/>
            </a:ext>
          </a:extLst>
        </xdr:cNvPr>
        <xdr:cNvPicPr>
          <a:picLocks noChangeAspect="1"/>
        </xdr:cNvPicPr>
      </xdr:nvPicPr>
      <xdr:blipFill>
        <a:blip xmlns:r="http://schemas.openxmlformats.org/officeDocument/2006/relationships" r:embed="rId1"/>
        <a:stretch>
          <a:fillRect/>
        </a:stretch>
      </xdr:blipFill>
      <xdr:spPr>
        <a:xfrm>
          <a:off x="504825" y="342900"/>
          <a:ext cx="1140051" cy="1054699"/>
        </a:xfrm>
        <a:prstGeom prst="rect">
          <a:avLst/>
        </a:prstGeom>
      </xdr:spPr>
    </xdr:pic>
    <xdr:clientData/>
  </xdr:twoCellAnchor>
  <xdr:twoCellAnchor>
    <xdr:from>
      <xdr:col>11</xdr:col>
      <xdr:colOff>504825</xdr:colOff>
      <xdr:row>1</xdr:row>
      <xdr:rowOff>142875</xdr:rowOff>
    </xdr:from>
    <xdr:to>
      <xdr:col>15</xdr:col>
      <xdr:colOff>352425</xdr:colOff>
      <xdr:row>7</xdr:row>
      <xdr:rowOff>142875</xdr:rowOff>
    </xdr:to>
    <xdr:sp macro="" textlink="">
      <xdr:nvSpPr>
        <xdr:cNvPr id="2" name="ZoneTexte 1">
          <a:extLst>
            <a:ext uri="{FF2B5EF4-FFF2-40B4-BE49-F238E27FC236}">
              <a16:creationId xmlns:a16="http://schemas.microsoft.com/office/drawing/2014/main" id="{74BDD054-5027-4738-A0DB-F216018696C6}"/>
            </a:ext>
          </a:extLst>
        </xdr:cNvPr>
        <xdr:cNvSpPr txBox="1"/>
      </xdr:nvSpPr>
      <xdr:spPr>
        <a:xfrm>
          <a:off x="12506325" y="304800"/>
          <a:ext cx="2895600" cy="971550"/>
        </a:xfrm>
        <a:prstGeom prst="rect">
          <a:avLst/>
        </a:prstGeom>
        <a:noFill/>
        <a:ln w="2857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Vous</a:t>
          </a:r>
          <a:r>
            <a:rPr lang="fr-FR" sz="1100" baseline="0"/>
            <a:t> avez besoin d'un accompagnement pour l'utilisation de ce simulateur, n'hésitez pas à envoyer un mail à :</a:t>
          </a:r>
        </a:p>
        <a:p>
          <a:r>
            <a:rPr lang="fr-FR" sz="1100" b="1" baseline="0"/>
            <a:t>fo.outils@gmail.com</a:t>
          </a:r>
          <a:endParaRPr lang="fr-FR" sz="11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733425</xdr:colOff>
      <xdr:row>0</xdr:row>
      <xdr:rowOff>190500</xdr:rowOff>
    </xdr:from>
    <xdr:to>
      <xdr:col>7</xdr:col>
      <xdr:colOff>485775</xdr:colOff>
      <xdr:row>8</xdr:row>
      <xdr:rowOff>142875</xdr:rowOff>
    </xdr:to>
    <xdr:pic>
      <xdr:nvPicPr>
        <xdr:cNvPr id="2" name="Image 1">
          <a:extLst>
            <a:ext uri="{FF2B5EF4-FFF2-40B4-BE49-F238E27FC236}">
              <a16:creationId xmlns:a16="http://schemas.microsoft.com/office/drawing/2014/main" id="{1933B4D3-84B8-433C-BBC1-01F96CBA3B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190500"/>
          <a:ext cx="1562100" cy="1562100"/>
        </a:xfrm>
        <a:prstGeom prst="rect">
          <a:avLst/>
        </a:prstGeom>
      </xdr:spPr>
    </xdr:pic>
    <xdr:clientData/>
  </xdr:twoCellAnchor>
  <xdr:oneCellAnchor>
    <xdr:from>
      <xdr:col>3</xdr:col>
      <xdr:colOff>237292</xdr:colOff>
      <xdr:row>6</xdr:row>
      <xdr:rowOff>190500</xdr:rowOff>
    </xdr:from>
    <xdr:ext cx="8671092" cy="937629"/>
    <xdr:sp macro="" textlink="">
      <xdr:nvSpPr>
        <xdr:cNvPr id="3" name="Rectangle 2">
          <a:extLst>
            <a:ext uri="{FF2B5EF4-FFF2-40B4-BE49-F238E27FC236}">
              <a16:creationId xmlns:a16="http://schemas.microsoft.com/office/drawing/2014/main" id="{17074A34-C49C-493D-90CA-8BA555046AA2}"/>
            </a:ext>
          </a:extLst>
        </xdr:cNvPr>
        <xdr:cNvSpPr/>
      </xdr:nvSpPr>
      <xdr:spPr>
        <a:xfrm>
          <a:off x="6399967" y="1409700"/>
          <a:ext cx="8671092" cy="937629"/>
        </a:xfrm>
        <a:prstGeom prst="rect">
          <a:avLst/>
        </a:prstGeom>
        <a:noFill/>
      </xdr:spPr>
      <xdr:txBody>
        <a:bodyPr wrap="none" lIns="91440" tIns="45720" rIns="91440" bIns="45720">
          <a:spAutoFit/>
        </a:bodyPr>
        <a:lstStyle/>
        <a:p>
          <a:pPr algn="ctr"/>
          <a:r>
            <a:rPr lang="fr-FR" sz="5400" b="1" cap="none" spc="0">
              <a:ln w="22225">
                <a:solidFill>
                  <a:schemeClr val="accent2"/>
                </a:solidFill>
                <a:prstDash val="solid"/>
              </a:ln>
              <a:solidFill>
                <a:schemeClr val="accent2">
                  <a:lumMod val="40000"/>
                  <a:lumOff val="60000"/>
                </a:schemeClr>
              </a:solidFill>
              <a:effectLst/>
            </a:rPr>
            <a:t>Version</a:t>
          </a:r>
          <a:r>
            <a:rPr lang="fr-FR" sz="5400" b="1" cap="none" spc="0" baseline="0">
              <a:ln w="22225">
                <a:solidFill>
                  <a:schemeClr val="accent2"/>
                </a:solidFill>
                <a:prstDash val="solid"/>
              </a:ln>
              <a:solidFill>
                <a:schemeClr val="accent2">
                  <a:lumMod val="40000"/>
                  <a:lumOff val="60000"/>
                </a:schemeClr>
              </a:solidFill>
              <a:effectLst/>
            </a:rPr>
            <a:t> St Pierre et Miquelon</a:t>
          </a:r>
          <a:endParaRPr lang="fr-FR"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46</xdr:col>
      <xdr:colOff>226220</xdr:colOff>
      <xdr:row>9</xdr:row>
      <xdr:rowOff>47625</xdr:rowOff>
    </xdr:from>
    <xdr:ext cx="2562225" cy="638175"/>
    <xdr:sp macro="" textlink="">
      <xdr:nvSpPr>
        <xdr:cNvPr id="2" name="ZoneTexte 1">
          <a:extLst>
            <a:ext uri="{FF2B5EF4-FFF2-40B4-BE49-F238E27FC236}">
              <a16:creationId xmlns:a16="http://schemas.microsoft.com/office/drawing/2014/main" id="{7C7A4157-2A27-4255-A1FF-C70231DF50A3}"/>
            </a:ext>
          </a:extLst>
        </xdr:cNvPr>
        <xdr:cNvSpPr txBox="1"/>
      </xdr:nvSpPr>
      <xdr:spPr>
        <a:xfrm>
          <a:off x="12715876" y="1797844"/>
          <a:ext cx="2562225" cy="638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4400" b="1">
              <a:solidFill>
                <a:srgbClr val="FFC000"/>
              </a:solidFill>
            </a:rPr>
            <a:t>EXEMPLE</a:t>
          </a:r>
        </a:p>
      </xdr:txBody>
    </xdr:sp>
    <xdr:clientData/>
  </xdr:oneCellAnchor>
  <xdr:twoCellAnchor>
    <xdr:from>
      <xdr:col>49</xdr:col>
      <xdr:colOff>0</xdr:colOff>
      <xdr:row>2</xdr:row>
      <xdr:rowOff>0</xdr:rowOff>
    </xdr:from>
    <xdr:to>
      <xdr:col>52</xdr:col>
      <xdr:colOff>609600</xdr:colOff>
      <xdr:row>6</xdr:row>
      <xdr:rowOff>167217</xdr:rowOff>
    </xdr:to>
    <xdr:sp macro="" textlink="">
      <xdr:nvSpPr>
        <xdr:cNvPr id="3" name="ZoneTexte 2">
          <a:extLst>
            <a:ext uri="{FF2B5EF4-FFF2-40B4-BE49-F238E27FC236}">
              <a16:creationId xmlns:a16="http://schemas.microsoft.com/office/drawing/2014/main" id="{40DBFBCF-1BC2-4B44-A69E-227E28B80F14}"/>
            </a:ext>
          </a:extLst>
        </xdr:cNvPr>
        <xdr:cNvSpPr txBox="1"/>
      </xdr:nvSpPr>
      <xdr:spPr>
        <a:xfrm>
          <a:off x="14497050" y="381000"/>
          <a:ext cx="2895600" cy="967317"/>
        </a:xfrm>
        <a:prstGeom prst="rect">
          <a:avLst/>
        </a:prstGeom>
        <a:noFill/>
        <a:ln w="2857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Vous</a:t>
          </a:r>
          <a:r>
            <a:rPr lang="fr-FR" sz="1100" baseline="0"/>
            <a:t> avez besoin d'un accompagnement pour l'utilisation de ce simulateur, n'hésitez pas à envoyer un mail à :</a:t>
          </a:r>
        </a:p>
        <a:p>
          <a:r>
            <a:rPr lang="fr-FR" sz="1100" b="1" baseline="0"/>
            <a:t>fo.outils@gmail.com</a:t>
          </a:r>
          <a:endParaRPr lang="fr-FR" sz="1100" b="1"/>
        </a:p>
      </xdr:txBody>
    </xdr:sp>
    <xdr:clientData/>
  </xdr:twoCellAnchor>
  <xdr:twoCellAnchor>
    <xdr:from>
      <xdr:col>49</xdr:col>
      <xdr:colOff>0</xdr:colOff>
      <xdr:row>2</xdr:row>
      <xdr:rowOff>0</xdr:rowOff>
    </xdr:from>
    <xdr:to>
      <xdr:col>52</xdr:col>
      <xdr:colOff>609600</xdr:colOff>
      <xdr:row>6</xdr:row>
      <xdr:rowOff>167217</xdr:rowOff>
    </xdr:to>
    <xdr:sp macro="" textlink="">
      <xdr:nvSpPr>
        <xdr:cNvPr id="4" name="ZoneTexte 3">
          <a:extLst>
            <a:ext uri="{FF2B5EF4-FFF2-40B4-BE49-F238E27FC236}">
              <a16:creationId xmlns:a16="http://schemas.microsoft.com/office/drawing/2014/main" id="{EE3C4D19-4734-40AE-963A-F5950A8F1438}"/>
            </a:ext>
          </a:extLst>
        </xdr:cNvPr>
        <xdr:cNvSpPr txBox="1"/>
      </xdr:nvSpPr>
      <xdr:spPr>
        <a:xfrm>
          <a:off x="14497050" y="381000"/>
          <a:ext cx="2895600" cy="967317"/>
        </a:xfrm>
        <a:prstGeom prst="rect">
          <a:avLst/>
        </a:prstGeom>
        <a:noFill/>
        <a:ln w="2857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Vous</a:t>
          </a:r>
          <a:r>
            <a:rPr lang="fr-FR" sz="1100" baseline="0"/>
            <a:t> avez besoin d'un accompagnement pour l'utilisation de ce simulateur, n'hésitez pas à envoyer un mail à :</a:t>
          </a:r>
        </a:p>
        <a:p>
          <a:r>
            <a:rPr lang="fr-FR" sz="1100" b="1" baseline="0"/>
            <a:t>fo.outils@gmail.com</a:t>
          </a:r>
          <a:endParaRPr lang="fr-FR" sz="1100" b="1"/>
        </a:p>
      </xdr:txBody>
    </xdr:sp>
    <xdr:clientData/>
  </xdr:twoCellAnchor>
  <xdr:oneCellAnchor>
    <xdr:from>
      <xdr:col>42</xdr:col>
      <xdr:colOff>117701</xdr:colOff>
      <xdr:row>4</xdr:row>
      <xdr:rowOff>126999</xdr:rowOff>
    </xdr:from>
    <xdr:ext cx="8671092" cy="937629"/>
    <xdr:sp macro="" textlink="">
      <xdr:nvSpPr>
        <xdr:cNvPr id="5" name="Rectangle 4">
          <a:extLst>
            <a:ext uri="{FF2B5EF4-FFF2-40B4-BE49-F238E27FC236}">
              <a16:creationId xmlns:a16="http://schemas.microsoft.com/office/drawing/2014/main" id="{B414216C-A7DA-4C58-B404-066DF3C8A1AC}"/>
            </a:ext>
          </a:extLst>
        </xdr:cNvPr>
        <xdr:cNvSpPr/>
      </xdr:nvSpPr>
      <xdr:spPr>
        <a:xfrm>
          <a:off x="9852251" y="927099"/>
          <a:ext cx="8671092" cy="937629"/>
        </a:xfrm>
        <a:prstGeom prst="rect">
          <a:avLst/>
        </a:prstGeom>
        <a:noFill/>
      </xdr:spPr>
      <xdr:txBody>
        <a:bodyPr wrap="none" lIns="91440" tIns="45720" rIns="91440" bIns="45720">
          <a:spAutoFit/>
        </a:bodyPr>
        <a:lstStyle/>
        <a:p>
          <a:pPr algn="ctr"/>
          <a:r>
            <a:rPr lang="fr-FR" sz="5400" b="1" cap="none" spc="0">
              <a:ln w="22225">
                <a:solidFill>
                  <a:schemeClr val="accent2"/>
                </a:solidFill>
                <a:prstDash val="solid"/>
              </a:ln>
              <a:solidFill>
                <a:schemeClr val="accent2">
                  <a:lumMod val="40000"/>
                  <a:lumOff val="60000"/>
                </a:schemeClr>
              </a:solidFill>
              <a:effectLst/>
            </a:rPr>
            <a:t>Version</a:t>
          </a:r>
          <a:r>
            <a:rPr lang="fr-FR" sz="5400" b="1" cap="none" spc="0" baseline="0">
              <a:ln w="22225">
                <a:solidFill>
                  <a:schemeClr val="accent2"/>
                </a:solidFill>
                <a:prstDash val="solid"/>
              </a:ln>
              <a:solidFill>
                <a:schemeClr val="accent2">
                  <a:lumMod val="40000"/>
                  <a:lumOff val="60000"/>
                </a:schemeClr>
              </a:solidFill>
              <a:effectLst/>
            </a:rPr>
            <a:t> St Pierre et Miquelon</a:t>
          </a:r>
          <a:endParaRPr lang="fr-FR" sz="5400" b="1" cap="none" spc="0">
            <a:ln w="22225">
              <a:solidFill>
                <a:schemeClr val="accent2"/>
              </a:solidFill>
              <a:prstDash val="solid"/>
            </a:ln>
            <a:solidFill>
              <a:schemeClr val="accent2">
                <a:lumMod val="40000"/>
                <a:lumOff val="60000"/>
              </a:schemeClr>
            </a:solidFill>
            <a:effectLst/>
          </a:endParaRPr>
        </a:p>
      </xdr:txBody>
    </xdr:sp>
    <xdr:clientData/>
  </xdr:oneCellAnchor>
  <xdr:twoCellAnchor>
    <xdr:from>
      <xdr:col>49</xdr:col>
      <xdr:colOff>0</xdr:colOff>
      <xdr:row>2</xdr:row>
      <xdr:rowOff>0</xdr:rowOff>
    </xdr:from>
    <xdr:to>
      <xdr:col>52</xdr:col>
      <xdr:colOff>609600</xdr:colOff>
      <xdr:row>6</xdr:row>
      <xdr:rowOff>167217</xdr:rowOff>
    </xdr:to>
    <xdr:sp macro="" textlink="">
      <xdr:nvSpPr>
        <xdr:cNvPr id="6" name="ZoneTexte 5">
          <a:extLst>
            <a:ext uri="{FF2B5EF4-FFF2-40B4-BE49-F238E27FC236}">
              <a16:creationId xmlns:a16="http://schemas.microsoft.com/office/drawing/2014/main" id="{5DB3DFBF-02B3-462E-95C4-2CEF7A592874}"/>
            </a:ext>
          </a:extLst>
        </xdr:cNvPr>
        <xdr:cNvSpPr txBox="1"/>
      </xdr:nvSpPr>
      <xdr:spPr>
        <a:xfrm>
          <a:off x="14497050" y="381000"/>
          <a:ext cx="2895600" cy="967317"/>
        </a:xfrm>
        <a:prstGeom prst="rect">
          <a:avLst/>
        </a:prstGeom>
        <a:noFill/>
        <a:ln w="2857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Vous</a:t>
          </a:r>
          <a:r>
            <a:rPr lang="fr-FR" sz="1100" baseline="0"/>
            <a:t> avez besoin d'un accompagnement pour l'utilisation de ce simulateur, n'hésitez pas à envoyer un mail à :</a:t>
          </a:r>
        </a:p>
        <a:p>
          <a:r>
            <a:rPr lang="fr-FR" sz="1100" b="1" baseline="0"/>
            <a:t>fo.outils@gmail.com</a:t>
          </a:r>
          <a:endParaRPr lang="fr-FR" sz="1100" b="1"/>
        </a:p>
      </xdr:txBody>
    </xdr:sp>
    <xdr:clientData/>
  </xdr:twoCellAnchor>
  <xdr:oneCellAnchor>
    <xdr:from>
      <xdr:col>42</xdr:col>
      <xdr:colOff>117701</xdr:colOff>
      <xdr:row>4</xdr:row>
      <xdr:rowOff>126999</xdr:rowOff>
    </xdr:from>
    <xdr:ext cx="8671092" cy="937629"/>
    <xdr:sp macro="" textlink="">
      <xdr:nvSpPr>
        <xdr:cNvPr id="7" name="Rectangle 6">
          <a:extLst>
            <a:ext uri="{FF2B5EF4-FFF2-40B4-BE49-F238E27FC236}">
              <a16:creationId xmlns:a16="http://schemas.microsoft.com/office/drawing/2014/main" id="{F14F4EE3-0021-458D-A432-327E70D145DE}"/>
            </a:ext>
          </a:extLst>
        </xdr:cNvPr>
        <xdr:cNvSpPr/>
      </xdr:nvSpPr>
      <xdr:spPr>
        <a:xfrm>
          <a:off x="9852251" y="927099"/>
          <a:ext cx="8671092" cy="937629"/>
        </a:xfrm>
        <a:prstGeom prst="rect">
          <a:avLst/>
        </a:prstGeom>
        <a:noFill/>
      </xdr:spPr>
      <xdr:txBody>
        <a:bodyPr wrap="none" lIns="91440" tIns="45720" rIns="91440" bIns="45720">
          <a:spAutoFit/>
        </a:bodyPr>
        <a:lstStyle/>
        <a:p>
          <a:pPr algn="ctr"/>
          <a:r>
            <a:rPr lang="fr-FR" sz="5400" b="1" cap="none" spc="0">
              <a:ln w="22225">
                <a:solidFill>
                  <a:schemeClr val="accent2"/>
                </a:solidFill>
                <a:prstDash val="solid"/>
              </a:ln>
              <a:solidFill>
                <a:schemeClr val="accent2">
                  <a:lumMod val="40000"/>
                  <a:lumOff val="60000"/>
                </a:schemeClr>
              </a:solidFill>
              <a:effectLst/>
            </a:rPr>
            <a:t>Version</a:t>
          </a:r>
          <a:r>
            <a:rPr lang="fr-FR" sz="5400" b="1" cap="none" spc="0" baseline="0">
              <a:ln w="22225">
                <a:solidFill>
                  <a:schemeClr val="accent2"/>
                </a:solidFill>
                <a:prstDash val="solid"/>
              </a:ln>
              <a:solidFill>
                <a:schemeClr val="accent2">
                  <a:lumMod val="40000"/>
                  <a:lumOff val="60000"/>
                </a:schemeClr>
              </a:solidFill>
              <a:effectLst/>
            </a:rPr>
            <a:t> St Pierre et Miquelon</a:t>
          </a:r>
          <a:endParaRPr lang="fr-FR"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423334</xdr:colOff>
      <xdr:row>0</xdr:row>
      <xdr:rowOff>10585</xdr:rowOff>
    </xdr:from>
    <xdr:ext cx="8628758" cy="747129"/>
    <xdr:sp macro="" textlink="">
      <xdr:nvSpPr>
        <xdr:cNvPr id="2" name="Rectangle 1">
          <a:extLst>
            <a:ext uri="{FF2B5EF4-FFF2-40B4-BE49-F238E27FC236}">
              <a16:creationId xmlns:a16="http://schemas.microsoft.com/office/drawing/2014/main" id="{9F3CE6FF-1EA4-42A2-8866-91F05795D07B}"/>
            </a:ext>
          </a:extLst>
        </xdr:cNvPr>
        <xdr:cNvSpPr/>
      </xdr:nvSpPr>
      <xdr:spPr>
        <a:xfrm>
          <a:off x="3587751" y="10585"/>
          <a:ext cx="8628758" cy="747129"/>
        </a:xfrm>
        <a:prstGeom prst="rect">
          <a:avLst/>
        </a:prstGeom>
        <a:noFill/>
      </xdr:spPr>
      <xdr:txBody>
        <a:bodyPr wrap="square" lIns="91440" tIns="45720" rIns="91440" bIns="45720">
          <a:noAutofit/>
        </a:bodyPr>
        <a:lstStyle/>
        <a:p>
          <a:pPr algn="ctr"/>
          <a:r>
            <a:rPr lang="fr-FR" sz="5400" b="1" cap="none" spc="0">
              <a:ln w="22225">
                <a:solidFill>
                  <a:schemeClr val="accent2"/>
                </a:solidFill>
                <a:prstDash val="solid"/>
              </a:ln>
              <a:solidFill>
                <a:schemeClr val="accent2">
                  <a:lumMod val="40000"/>
                  <a:lumOff val="60000"/>
                </a:schemeClr>
              </a:solidFill>
              <a:effectLst/>
            </a:rPr>
            <a:t>Version</a:t>
          </a:r>
          <a:r>
            <a:rPr lang="fr-FR" sz="5400" b="1" cap="none" spc="0" baseline="0">
              <a:ln w="22225">
                <a:solidFill>
                  <a:schemeClr val="accent2"/>
                </a:solidFill>
                <a:prstDash val="solid"/>
              </a:ln>
              <a:solidFill>
                <a:schemeClr val="accent2">
                  <a:lumMod val="40000"/>
                  <a:lumOff val="60000"/>
                </a:schemeClr>
              </a:solidFill>
              <a:effectLst/>
            </a:rPr>
            <a:t> St Pierre et Miquelon</a:t>
          </a:r>
          <a:endParaRPr lang="fr-FR"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CD107"/>
  <sheetViews>
    <sheetView showGridLines="0" tabSelected="1" zoomScale="90" zoomScaleNormal="90" workbookViewId="0">
      <selection activeCell="A10" sqref="A10:M11"/>
    </sheetView>
  </sheetViews>
  <sheetFormatPr baseColWidth="10" defaultRowHeight="15" x14ac:dyDescent="0.25"/>
  <cols>
    <col min="1" max="1" width="4.42578125" style="15" customWidth="1"/>
    <col min="2" max="2" width="8.85546875" style="15" customWidth="1"/>
    <col min="3" max="5" width="3.42578125" style="15" customWidth="1"/>
    <col min="6" max="6" width="4.5703125" style="15" customWidth="1"/>
    <col min="7" max="7" width="4.28515625" style="15" customWidth="1"/>
    <col min="8" max="15" width="3.42578125" style="15" customWidth="1"/>
    <col min="16" max="16" width="4.5703125" style="15" customWidth="1"/>
    <col min="17" max="17" width="2.42578125" style="15" customWidth="1"/>
    <col min="18" max="26" width="3.42578125" style="15" customWidth="1"/>
    <col min="27" max="27" width="1.28515625" style="15" customWidth="1"/>
    <col min="28" max="28" width="3" style="15" customWidth="1"/>
    <col min="29" max="29" width="3.5703125" style="15" customWidth="1"/>
    <col min="30" max="40" width="3" style="15" customWidth="1"/>
    <col min="41" max="42" width="3.7109375" style="15" customWidth="1"/>
    <col min="43" max="45" width="11.42578125" style="13"/>
    <col min="46" max="46" width="7" style="13" customWidth="1"/>
    <col min="47" max="47" width="11.42578125" style="13"/>
    <col min="48" max="48" width="7.28515625" style="13" customWidth="1"/>
    <col min="49" max="49" width="11.42578125" style="13"/>
    <col min="53" max="54" width="11.42578125" customWidth="1"/>
    <col min="55" max="55" width="15.7109375" customWidth="1"/>
    <col min="56" max="56" width="17.140625" customWidth="1"/>
    <col min="57" max="58" width="11.42578125" customWidth="1"/>
    <col min="59" max="63" width="11.42578125" hidden="1" customWidth="1"/>
    <col min="64" max="74" width="11.42578125" customWidth="1"/>
    <col min="75" max="82" width="11.42578125" hidden="1" customWidth="1"/>
    <col min="83" max="104" width="11.42578125" customWidth="1"/>
  </cols>
  <sheetData>
    <row r="1" spans="1:76" ht="18" x14ac:dyDescent="0.25">
      <c r="A1" s="349" t="s">
        <v>0</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BC1" s="335" t="s">
        <v>248</v>
      </c>
      <c r="BD1" s="335"/>
      <c r="BJ1" s="3" t="s">
        <v>109</v>
      </c>
      <c r="BX1" t="s">
        <v>185</v>
      </c>
    </row>
    <row r="2" spans="1:76" ht="12" customHeight="1" x14ac:dyDescent="0.2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R2" s="13" t="s">
        <v>103</v>
      </c>
      <c r="BC2" s="163">
        <v>45658</v>
      </c>
      <c r="BD2" s="167">
        <v>0.78120000000000001</v>
      </c>
      <c r="BJ2" s="2">
        <v>45658</v>
      </c>
      <c r="BX2" t="s">
        <v>184</v>
      </c>
    </row>
    <row r="3" spans="1:76" ht="18" x14ac:dyDescent="0.25">
      <c r="A3" s="350" t="s">
        <v>1</v>
      </c>
      <c r="B3" s="351"/>
      <c r="C3" s="351"/>
      <c r="D3" s="351"/>
      <c r="E3" s="351"/>
      <c r="F3" s="351"/>
      <c r="G3" s="351"/>
      <c r="H3" s="351"/>
      <c r="I3" s="351"/>
      <c r="J3" s="351"/>
      <c r="K3" s="351"/>
      <c r="L3" s="351"/>
      <c r="M3" s="351"/>
      <c r="N3" s="351"/>
      <c r="O3" s="351"/>
      <c r="P3" s="351"/>
      <c r="Q3" s="351"/>
      <c r="R3" s="352"/>
      <c r="S3" s="81"/>
      <c r="T3" s="81"/>
      <c r="U3" s="81"/>
      <c r="V3" s="82" t="s">
        <v>2</v>
      </c>
      <c r="W3" s="83"/>
      <c r="X3" s="353">
        <v>45658</v>
      </c>
      <c r="Y3" s="354"/>
      <c r="Z3" s="354"/>
      <c r="AA3" s="354"/>
      <c r="AB3" s="354"/>
      <c r="AC3" s="355"/>
      <c r="AD3" s="81"/>
      <c r="AE3" s="81"/>
      <c r="AF3" s="356" t="s">
        <v>3</v>
      </c>
      <c r="AG3" s="357"/>
      <c r="AH3" s="358"/>
      <c r="AI3" s="359"/>
      <c r="AJ3" s="360"/>
      <c r="AK3" s="360"/>
      <c r="AL3" s="360"/>
      <c r="AM3" s="360"/>
      <c r="AN3" s="360"/>
      <c r="AO3" s="361"/>
      <c r="AR3" s="578" t="s">
        <v>107</v>
      </c>
      <c r="AS3" s="578"/>
      <c r="AT3" s="84"/>
      <c r="BC3" s="163"/>
      <c r="BD3" s="167"/>
      <c r="BJ3" s="2">
        <f>+DATE(YEAR(BJ2),MONTH(BJ2)+1,1)</f>
        <v>45689</v>
      </c>
    </row>
    <row r="4" spans="1:76" x14ac:dyDescent="0.25">
      <c r="A4" s="340" t="s">
        <v>4</v>
      </c>
      <c r="B4" s="341"/>
      <c r="C4" s="341"/>
      <c r="D4" s="341"/>
      <c r="E4" s="345"/>
      <c r="F4" s="345"/>
      <c r="G4" s="345"/>
      <c r="H4" s="345"/>
      <c r="I4" s="345"/>
      <c r="J4" s="345"/>
      <c r="K4" s="345"/>
      <c r="L4" s="345"/>
      <c r="M4" s="345"/>
      <c r="N4" s="345"/>
      <c r="O4" s="345"/>
      <c r="P4" s="345"/>
      <c r="Q4" s="345"/>
      <c r="R4" s="346"/>
      <c r="V4" s="85" t="s">
        <v>5</v>
      </c>
      <c r="W4" s="86"/>
      <c r="X4" s="362">
        <v>2025</v>
      </c>
      <c r="Y4" s="363"/>
      <c r="Z4" s="363"/>
      <c r="AA4" s="363"/>
      <c r="AB4" s="363"/>
      <c r="AC4" s="364"/>
      <c r="AE4" s="87"/>
      <c r="AF4" s="365" t="s">
        <v>6</v>
      </c>
      <c r="AG4" s="366"/>
      <c r="AH4" s="366"/>
      <c r="AI4" s="367"/>
      <c r="AJ4" s="592"/>
      <c r="AK4" s="593"/>
      <c r="AL4" s="593"/>
      <c r="AM4" s="593"/>
      <c r="AN4" s="593"/>
      <c r="AO4" s="594"/>
      <c r="AP4" s="76"/>
      <c r="BC4" s="163"/>
      <c r="BD4" s="167"/>
      <c r="BJ4" s="2">
        <f t="shared" ref="BJ4:BJ13" si="0">+DATE(YEAR(BJ3),MONTH(BJ3)+1,1)</f>
        <v>45717</v>
      </c>
    </row>
    <row r="5" spans="1:76" x14ac:dyDescent="0.25">
      <c r="A5" s="231" t="s">
        <v>7</v>
      </c>
      <c r="B5" s="342"/>
      <c r="C5" s="342"/>
      <c r="D5" s="342"/>
      <c r="E5" s="347"/>
      <c r="F5" s="347"/>
      <c r="G5" s="347"/>
      <c r="H5" s="347"/>
      <c r="I5" s="347"/>
      <c r="J5" s="347"/>
      <c r="K5" s="347"/>
      <c r="L5" s="347"/>
      <c r="M5" s="347"/>
      <c r="N5" s="347"/>
      <c r="O5" s="347"/>
      <c r="P5" s="347"/>
      <c r="Q5" s="347"/>
      <c r="R5" s="348"/>
      <c r="V5" s="88" t="s">
        <v>8</v>
      </c>
      <c r="W5" s="89"/>
      <c r="X5" s="579">
        <f>IF(AT5="",+X3,DATE(YEAR(X3),MONTH(X3),DAY(AT5)))</f>
        <v>45658</v>
      </c>
      <c r="Y5" s="580"/>
      <c r="Z5" s="471" t="s">
        <v>9</v>
      </c>
      <c r="AA5" s="471"/>
      <c r="AB5" s="580">
        <f>IF(AV5="",+EOMONTH(X3,0),DATE(YEAR(X3),MONTH(X3),DAY(AV5)))</f>
        <v>45688</v>
      </c>
      <c r="AC5" s="581"/>
      <c r="AP5" s="90"/>
      <c r="AS5" s="63" t="s">
        <v>180</v>
      </c>
      <c r="AT5" s="161"/>
      <c r="AU5" s="129" t="s">
        <v>9</v>
      </c>
      <c r="AV5" s="161"/>
      <c r="BC5" s="163"/>
      <c r="BD5" s="167"/>
      <c r="BJ5" s="2">
        <f>+DATE(YEAR(BJ4),MONTH(BJ4)+1,1)</f>
        <v>45748</v>
      </c>
    </row>
    <row r="6" spans="1:76" x14ac:dyDescent="0.25">
      <c r="A6" s="231" t="s">
        <v>10</v>
      </c>
      <c r="B6" s="342"/>
      <c r="C6" s="342"/>
      <c r="D6" s="342"/>
      <c r="E6" s="347"/>
      <c r="F6" s="347"/>
      <c r="G6" s="347"/>
      <c r="H6" s="347"/>
      <c r="I6" s="347"/>
      <c r="J6" s="347"/>
      <c r="K6" s="347"/>
      <c r="L6" s="347"/>
      <c r="M6" s="347"/>
      <c r="N6" s="347"/>
      <c r="O6" s="347"/>
      <c r="P6" s="347"/>
      <c r="Q6" s="347"/>
      <c r="R6" s="348"/>
      <c r="BJ6" s="2">
        <f>+DATE(YEAR(BJ5),MONTH(BJ5)+1,1)</f>
        <v>45778</v>
      </c>
    </row>
    <row r="7" spans="1:76" x14ac:dyDescent="0.25">
      <c r="A7" s="231" t="s">
        <v>11</v>
      </c>
      <c r="B7" s="342"/>
      <c r="C7" s="342"/>
      <c r="D7" s="342"/>
      <c r="E7" s="347"/>
      <c r="F7" s="347"/>
      <c r="G7" s="347"/>
      <c r="H7" s="347"/>
      <c r="I7" s="347"/>
      <c r="J7" s="347"/>
      <c r="K7" s="347"/>
      <c r="L7" s="347"/>
      <c r="M7" s="347"/>
      <c r="N7" s="347"/>
      <c r="O7" s="347"/>
      <c r="P7" s="347"/>
      <c r="Q7" s="347"/>
      <c r="R7" s="348"/>
      <c r="V7" s="350" t="s">
        <v>12</v>
      </c>
      <c r="W7" s="351"/>
      <c r="X7" s="351"/>
      <c r="Y7" s="351"/>
      <c r="Z7" s="351"/>
      <c r="AA7" s="351"/>
      <c r="AB7" s="351"/>
      <c r="AC7" s="351"/>
      <c r="AD7" s="351"/>
      <c r="AE7" s="351"/>
      <c r="AF7" s="351"/>
      <c r="AG7" s="351"/>
      <c r="AH7" s="351"/>
      <c r="AI7" s="351"/>
      <c r="AJ7" s="351"/>
      <c r="AK7" s="351"/>
      <c r="AL7" s="351"/>
      <c r="AM7" s="351"/>
      <c r="AN7" s="351"/>
      <c r="AO7" s="352"/>
      <c r="AP7" s="91"/>
      <c r="AR7" s="152"/>
      <c r="AS7" s="152"/>
      <c r="BC7" s="336" t="s">
        <v>249</v>
      </c>
      <c r="BD7" s="336"/>
      <c r="BJ7" s="2">
        <f t="shared" si="0"/>
        <v>45809</v>
      </c>
    </row>
    <row r="8" spans="1:76" x14ac:dyDescent="0.25">
      <c r="A8" s="343" t="s">
        <v>13</v>
      </c>
      <c r="B8" s="344"/>
      <c r="C8" s="344"/>
      <c r="D8" s="344"/>
      <c r="E8" s="338"/>
      <c r="F8" s="338"/>
      <c r="G8" s="338"/>
      <c r="H8" s="338"/>
      <c r="I8" s="338"/>
      <c r="J8" s="338"/>
      <c r="K8" s="338"/>
      <c r="L8" s="338"/>
      <c r="M8" s="338"/>
      <c r="N8" s="338"/>
      <c r="O8" s="338"/>
      <c r="P8" s="338"/>
      <c r="Q8" s="338"/>
      <c r="R8" s="339"/>
      <c r="V8" s="340" t="s">
        <v>4</v>
      </c>
      <c r="W8" s="341"/>
      <c r="X8" s="341"/>
      <c r="Y8" s="341"/>
      <c r="Z8" s="345"/>
      <c r="AA8" s="345"/>
      <c r="AB8" s="345"/>
      <c r="AC8" s="345"/>
      <c r="AD8" s="345"/>
      <c r="AE8" s="345"/>
      <c r="AF8" s="345"/>
      <c r="AG8" s="345"/>
      <c r="AH8" s="345"/>
      <c r="AI8" s="345"/>
      <c r="AJ8" s="345"/>
      <c r="AK8" s="345"/>
      <c r="AL8" s="345"/>
      <c r="AM8" s="345"/>
      <c r="AN8" s="345"/>
      <c r="AO8" s="346"/>
      <c r="AR8" s="195"/>
      <c r="AS8" s="152"/>
      <c r="BC8" s="206">
        <v>45658</v>
      </c>
      <c r="BD8" s="207">
        <v>0.86419999999999997</v>
      </c>
      <c r="BJ8" s="2">
        <f t="shared" si="0"/>
        <v>45839</v>
      </c>
    </row>
    <row r="9" spans="1:76" x14ac:dyDescent="0.25">
      <c r="V9" s="231" t="s">
        <v>7</v>
      </c>
      <c r="W9" s="342"/>
      <c r="X9" s="342"/>
      <c r="Y9" s="342"/>
      <c r="Z9" s="347"/>
      <c r="AA9" s="347"/>
      <c r="AB9" s="347"/>
      <c r="AC9" s="347"/>
      <c r="AD9" s="347"/>
      <c r="AE9" s="347"/>
      <c r="AF9" s="347"/>
      <c r="AG9" s="347"/>
      <c r="AH9" s="347"/>
      <c r="AI9" s="347"/>
      <c r="AJ9" s="347"/>
      <c r="AK9" s="347"/>
      <c r="AL9" s="347"/>
      <c r="AM9" s="347"/>
      <c r="AN9" s="347"/>
      <c r="AO9" s="348"/>
      <c r="BC9" s="206"/>
      <c r="BD9" s="207"/>
      <c r="BJ9" s="2">
        <f t="shared" si="0"/>
        <v>45870</v>
      </c>
    </row>
    <row r="10" spans="1:76" x14ac:dyDescent="0.25">
      <c r="A10" s="582" t="s">
        <v>14</v>
      </c>
      <c r="B10" s="582"/>
      <c r="C10" s="582"/>
      <c r="D10" s="582"/>
      <c r="E10" s="582"/>
      <c r="F10" s="582"/>
      <c r="G10" s="582"/>
      <c r="H10" s="582"/>
      <c r="I10" s="582"/>
      <c r="J10" s="582"/>
      <c r="K10" s="582"/>
      <c r="L10" s="582"/>
      <c r="M10" s="582"/>
      <c r="V10" s="231" t="s">
        <v>10</v>
      </c>
      <c r="W10" s="342"/>
      <c r="X10" s="342"/>
      <c r="Y10" s="342"/>
      <c r="Z10" s="347"/>
      <c r="AA10" s="347"/>
      <c r="AB10" s="347"/>
      <c r="AC10" s="347"/>
      <c r="AD10" s="347"/>
      <c r="AE10" s="347"/>
      <c r="AF10" s="347"/>
      <c r="AG10" s="347"/>
      <c r="AH10" s="347"/>
      <c r="AI10" s="347"/>
      <c r="AJ10" s="347"/>
      <c r="AK10" s="347"/>
      <c r="AL10" s="347"/>
      <c r="AM10" s="347"/>
      <c r="AN10" s="347"/>
      <c r="AO10" s="348"/>
      <c r="AR10" s="13" t="s">
        <v>247</v>
      </c>
      <c r="BC10" s="206"/>
      <c r="BD10" s="207"/>
      <c r="BJ10" s="2">
        <f t="shared" si="0"/>
        <v>45901</v>
      </c>
    </row>
    <row r="11" spans="1:76" x14ac:dyDescent="0.25">
      <c r="A11" s="582"/>
      <c r="B11" s="582"/>
      <c r="C11" s="582"/>
      <c r="D11" s="582"/>
      <c r="E11" s="582"/>
      <c r="F11" s="582"/>
      <c r="G11" s="582"/>
      <c r="H11" s="582"/>
      <c r="I11" s="582"/>
      <c r="J11" s="582"/>
      <c r="K11" s="582"/>
      <c r="L11" s="582"/>
      <c r="M11" s="582"/>
      <c r="V11" s="231" t="s">
        <v>15</v>
      </c>
      <c r="W11" s="342"/>
      <c r="X11" s="342"/>
      <c r="Y11" s="342"/>
      <c r="Z11" s="347"/>
      <c r="AA11" s="347"/>
      <c r="AB11" s="347"/>
      <c r="AC11" s="347"/>
      <c r="AD11" s="347"/>
      <c r="AE11" s="347"/>
      <c r="AF11" s="347"/>
      <c r="AG11" s="347"/>
      <c r="AH11" s="347"/>
      <c r="AI11" s="347"/>
      <c r="AJ11" s="347"/>
      <c r="AK11" s="347"/>
      <c r="AL11" s="347"/>
      <c r="AM11" s="347"/>
      <c r="AN11" s="347"/>
      <c r="AO11" s="348"/>
      <c r="AR11" s="92">
        <f>VLOOKUP(X3,BC2:BD5,2,TRUE)</f>
        <v>0.78120000000000001</v>
      </c>
      <c r="BC11" s="206"/>
      <c r="BD11" s="207"/>
      <c r="BJ11" s="2">
        <f t="shared" si="0"/>
        <v>45931</v>
      </c>
    </row>
    <row r="12" spans="1:76" x14ac:dyDescent="0.25">
      <c r="V12" s="343" t="s">
        <v>16</v>
      </c>
      <c r="W12" s="344"/>
      <c r="X12" s="344"/>
      <c r="Y12" s="344"/>
      <c r="Z12" s="338"/>
      <c r="AA12" s="338"/>
      <c r="AB12" s="338"/>
      <c r="AC12" s="338"/>
      <c r="AD12" s="338"/>
      <c r="AE12" s="338"/>
      <c r="AF12" s="338"/>
      <c r="AG12" s="338"/>
      <c r="AH12" s="338"/>
      <c r="AI12" s="338"/>
      <c r="AJ12" s="338"/>
      <c r="AK12" s="338"/>
      <c r="AL12" s="338"/>
      <c r="AM12" s="338"/>
      <c r="AN12" s="338"/>
      <c r="AO12" s="339"/>
      <c r="BC12" s="205"/>
      <c r="BD12" s="205"/>
      <c r="BJ12" s="2">
        <f t="shared" si="0"/>
        <v>45962</v>
      </c>
    </row>
    <row r="13" spans="1:76" x14ac:dyDescent="0.25">
      <c r="A13" s="93"/>
      <c r="B13" s="93"/>
      <c r="C13" s="93"/>
      <c r="D13" s="93"/>
      <c r="E13" s="93"/>
      <c r="F13" s="93"/>
      <c r="G13" s="93"/>
      <c r="H13" s="93"/>
      <c r="I13" s="93"/>
      <c r="J13" s="93"/>
      <c r="K13" s="93"/>
      <c r="L13" s="93"/>
      <c r="M13" s="93"/>
      <c r="AN13" s="94"/>
      <c r="AR13" s="12" t="s">
        <v>116</v>
      </c>
      <c r="AS13" s="12"/>
      <c r="BC13" s="337" t="s">
        <v>112</v>
      </c>
      <c r="BD13" s="337"/>
      <c r="BJ13" s="2">
        <f t="shared" si="0"/>
        <v>45992</v>
      </c>
    </row>
    <row r="14" spans="1:76" x14ac:dyDescent="0.25">
      <c r="G14" s="74" t="s">
        <v>17</v>
      </c>
      <c r="H14" s="583"/>
      <c r="I14" s="584"/>
      <c r="J14" s="584"/>
      <c r="K14" s="585"/>
      <c r="O14" s="586" t="s">
        <v>18</v>
      </c>
      <c r="P14" s="586"/>
      <c r="Q14" s="586"/>
      <c r="R14" s="586"/>
      <c r="S14" s="586"/>
      <c r="T14" s="587"/>
      <c r="U14" s="583"/>
      <c r="V14" s="584"/>
      <c r="W14" s="584"/>
      <c r="X14" s="588"/>
      <c r="AE14" s="365" t="s">
        <v>19</v>
      </c>
      <c r="AF14" s="366"/>
      <c r="AG14" s="366"/>
      <c r="AH14" s="366"/>
      <c r="AI14" s="366"/>
      <c r="AJ14" s="366"/>
      <c r="AK14" s="367"/>
      <c r="AL14" s="589"/>
      <c r="AM14" s="590"/>
      <c r="AN14" s="590"/>
      <c r="AO14" s="591"/>
      <c r="AR14" s="162" t="s">
        <v>108</v>
      </c>
      <c r="BC14" s="198">
        <v>45658</v>
      </c>
      <c r="BD14" s="199">
        <v>1.2999999999999999E-2</v>
      </c>
    </row>
    <row r="15" spans="1:76" x14ac:dyDescent="0.25">
      <c r="A15" s="15" t="s">
        <v>113</v>
      </c>
      <c r="L15" s="74" t="s">
        <v>114</v>
      </c>
      <c r="M15" s="532">
        <v>0.1</v>
      </c>
      <c r="N15" s="533"/>
      <c r="W15" s="74" t="s">
        <v>115</v>
      </c>
      <c r="X15" s="546">
        <v>0</v>
      </c>
      <c r="Y15" s="547"/>
      <c r="Z15" s="95"/>
      <c r="AE15" s="365" t="s">
        <v>20</v>
      </c>
      <c r="AF15" s="366"/>
      <c r="AG15" s="366"/>
      <c r="AH15" s="366"/>
      <c r="AI15" s="366"/>
      <c r="AJ15" s="366"/>
      <c r="AK15" s="367"/>
      <c r="AL15" s="534">
        <f>AL14*AR27</f>
        <v>0</v>
      </c>
      <c r="AM15" s="535"/>
      <c r="AN15" s="535"/>
      <c r="AO15" s="536"/>
      <c r="AP15" s="96"/>
      <c r="BC15" s="198"/>
      <c r="BD15" s="199"/>
    </row>
    <row r="16" spans="1:76" ht="9.75" customHeight="1" x14ac:dyDescent="0.25">
      <c r="AP16" s="96"/>
      <c r="BC16" s="198"/>
      <c r="BD16" s="199"/>
    </row>
    <row r="17" spans="1:60" ht="11.25" customHeight="1" thickBot="1" x14ac:dyDescent="0.3">
      <c r="M17" s="97"/>
      <c r="N17" s="97"/>
      <c r="AE17" s="76"/>
      <c r="AF17" s="76"/>
      <c r="AG17" s="76"/>
      <c r="AH17" s="76"/>
      <c r="AI17" s="76"/>
      <c r="AJ17" s="76"/>
      <c r="AK17" s="76"/>
      <c r="AL17" s="96"/>
      <c r="AM17" s="96"/>
      <c r="AN17" s="96"/>
      <c r="AO17" s="96"/>
      <c r="AP17" s="96"/>
      <c r="AR17" s="213" t="s">
        <v>246</v>
      </c>
      <c r="AS17" s="213"/>
      <c r="AT17" s="213"/>
      <c r="BC17" s="198"/>
      <c r="BD17" s="199"/>
    </row>
    <row r="18" spans="1:60" ht="15.75" thickTop="1" x14ac:dyDescent="0.25">
      <c r="A18" s="350" t="s">
        <v>21</v>
      </c>
      <c r="B18" s="351"/>
      <c r="C18" s="351"/>
      <c r="D18" s="351"/>
      <c r="E18" s="351"/>
      <c r="F18" s="351"/>
      <c r="G18" s="351"/>
      <c r="H18" s="351"/>
      <c r="I18" s="351"/>
      <c r="J18" s="351"/>
      <c r="K18" s="352"/>
      <c r="L18" s="537" t="s">
        <v>22</v>
      </c>
      <c r="M18" s="537"/>
      <c r="N18" s="537"/>
      <c r="O18" s="538"/>
      <c r="P18" s="539" t="s">
        <v>23</v>
      </c>
      <c r="Q18" s="537"/>
      <c r="R18" s="537"/>
      <c r="S18" s="538"/>
      <c r="T18" s="539" t="s">
        <v>24</v>
      </c>
      <c r="U18" s="537"/>
      <c r="V18" s="537"/>
      <c r="W18" s="538"/>
      <c r="AB18" s="540" t="s">
        <v>25</v>
      </c>
      <c r="AC18" s="541"/>
      <c r="AD18" s="544" t="s">
        <v>26</v>
      </c>
      <c r="AE18" s="544"/>
      <c r="AF18" s="544"/>
      <c r="AG18" s="544" t="s">
        <v>27</v>
      </c>
      <c r="AH18" s="544"/>
      <c r="AI18" s="544"/>
      <c r="AJ18" s="544" t="s">
        <v>28</v>
      </c>
      <c r="AK18" s="544"/>
      <c r="AL18" s="557"/>
      <c r="AO18" s="13"/>
      <c r="AP18" s="13"/>
      <c r="AR18" s="130">
        <v>45658</v>
      </c>
      <c r="AS18" s="131">
        <v>11.88</v>
      </c>
      <c r="BH18" t="s">
        <v>117</v>
      </c>
    </row>
    <row r="19" spans="1:60" ht="15" customHeight="1" x14ac:dyDescent="0.25">
      <c r="A19" s="559" t="str">
        <f>+IF(AR14="OUI","Salaire (Nbre d'heures réelles)",IF(AND(AR14="NON",U14&gt;0),"Salaire mensualisé (hrs &lt; ou = à 45 hrs / sem)","Salaire mensualisé"))</f>
        <v>Salaire mensualisé</v>
      </c>
      <c r="B19" s="560"/>
      <c r="C19" s="560"/>
      <c r="D19" s="560"/>
      <c r="E19" s="560"/>
      <c r="F19" s="560"/>
      <c r="G19" s="560"/>
      <c r="H19" s="560"/>
      <c r="I19" s="560"/>
      <c r="J19" s="560"/>
      <c r="K19" s="561"/>
      <c r="L19" s="562">
        <f>IF(AR14="OUI",AD51,H14)</f>
        <v>0</v>
      </c>
      <c r="M19" s="562"/>
      <c r="N19" s="562"/>
      <c r="O19" s="563"/>
      <c r="P19" s="564">
        <f>AL14</f>
        <v>0</v>
      </c>
      <c r="Q19" s="565"/>
      <c r="R19" s="565"/>
      <c r="S19" s="566"/>
      <c r="T19" s="567">
        <f t="shared" ref="T19:T23" si="1">+P19*L19</f>
        <v>0</v>
      </c>
      <c r="U19" s="568"/>
      <c r="V19" s="568"/>
      <c r="W19" s="569"/>
      <c r="X19" s="76"/>
      <c r="Y19" s="76"/>
      <c r="Z19" s="76"/>
      <c r="AA19" s="98"/>
      <c r="AB19" s="542"/>
      <c r="AC19" s="543"/>
      <c r="AD19" s="545"/>
      <c r="AE19" s="545"/>
      <c r="AF19" s="545"/>
      <c r="AG19" s="545"/>
      <c r="AH19" s="545"/>
      <c r="AI19" s="545"/>
      <c r="AJ19" s="545"/>
      <c r="AK19" s="545"/>
      <c r="AL19" s="558"/>
      <c r="AM19" s="99"/>
      <c r="AN19" s="13"/>
      <c r="AO19" s="13"/>
      <c r="AP19" s="13"/>
      <c r="AR19" s="163"/>
      <c r="AS19" s="164"/>
      <c r="BC19" s="335" t="s">
        <v>215</v>
      </c>
      <c r="BD19" s="335"/>
      <c r="BG19" t="s">
        <v>35</v>
      </c>
    </row>
    <row r="20" spans="1:60" x14ac:dyDescent="0.25">
      <c r="A20" s="231" t="str">
        <f>+IF(U14&lt;=0,"","Heures supp mensualisées majorées")</f>
        <v/>
      </c>
      <c r="B20" s="342"/>
      <c r="C20" s="342"/>
      <c r="D20" s="342"/>
      <c r="E20" s="342"/>
      <c r="F20" s="342"/>
      <c r="G20" s="342"/>
      <c r="H20" s="342"/>
      <c r="I20" s="342"/>
      <c r="J20" s="342"/>
      <c r="K20" s="570"/>
      <c r="L20" s="576">
        <f>IF(A19="Salaire heures normales réelles",0,U14)</f>
        <v>0</v>
      </c>
      <c r="M20" s="576"/>
      <c r="N20" s="576"/>
      <c r="O20" s="577"/>
      <c r="P20" s="523">
        <f>++IF(L20=0,0,P19)</f>
        <v>0</v>
      </c>
      <c r="Q20" s="524"/>
      <c r="R20" s="524"/>
      <c r="S20" s="525"/>
      <c r="T20" s="574">
        <f t="shared" si="1"/>
        <v>0</v>
      </c>
      <c r="U20" s="368"/>
      <c r="V20" s="368"/>
      <c r="W20" s="575"/>
      <c r="X20" s="77"/>
      <c r="Y20" s="77"/>
      <c r="Z20" s="77"/>
      <c r="AA20" s="65"/>
      <c r="AB20" s="432">
        <f>+$X$3</f>
        <v>45658</v>
      </c>
      <c r="AC20" s="432">
        <f>+$D$6</f>
        <v>0</v>
      </c>
      <c r="AD20" s="433"/>
      <c r="AE20" s="433"/>
      <c r="AF20" s="433"/>
      <c r="AG20" s="434"/>
      <c r="AH20" s="434"/>
      <c r="AI20" s="434"/>
      <c r="AJ20" s="433"/>
      <c r="AK20" s="433"/>
      <c r="AL20" s="435"/>
      <c r="AM20" s="100"/>
      <c r="AN20" s="101">
        <f>SUM(AD20:AL20)</f>
        <v>0</v>
      </c>
      <c r="AO20" s="13"/>
      <c r="AP20" s="13"/>
      <c r="AR20" s="163"/>
      <c r="AS20" s="164"/>
      <c r="BC20" s="163">
        <v>45658</v>
      </c>
      <c r="BD20" s="168">
        <v>3925</v>
      </c>
    </row>
    <row r="21" spans="1:60" x14ac:dyDescent="0.25">
      <c r="A21" s="231" t="str">
        <f>+IF(U14&lt;=0,"","Majoration hrs majorées mensuelles")</f>
        <v/>
      </c>
      <c r="B21" s="342"/>
      <c r="C21" s="342"/>
      <c r="D21" s="342"/>
      <c r="E21" s="342"/>
      <c r="F21" s="342"/>
      <c r="G21" s="342"/>
      <c r="H21" s="342"/>
      <c r="I21" s="342"/>
      <c r="J21" s="342"/>
      <c r="K21" s="570"/>
      <c r="L21" s="571"/>
      <c r="M21" s="571"/>
      <c r="N21" s="571"/>
      <c r="O21" s="572"/>
      <c r="P21" s="573">
        <f>+IF(L20=0,0,P19*M15)</f>
        <v>0</v>
      </c>
      <c r="Q21" s="524"/>
      <c r="R21" s="524"/>
      <c r="S21" s="525"/>
      <c r="T21" s="574">
        <f>+P21*L21</f>
        <v>0</v>
      </c>
      <c r="U21" s="368"/>
      <c r="V21" s="368"/>
      <c r="W21" s="575"/>
      <c r="X21" s="77"/>
      <c r="Y21" s="77"/>
      <c r="Z21" s="77"/>
      <c r="AA21" s="65"/>
      <c r="AB21" s="432">
        <f>+$X$3+1</f>
        <v>45659</v>
      </c>
      <c r="AC21" s="432">
        <f>+$D$6+1</f>
        <v>1</v>
      </c>
      <c r="AD21" s="433"/>
      <c r="AE21" s="433"/>
      <c r="AF21" s="433"/>
      <c r="AG21" s="434"/>
      <c r="AH21" s="434"/>
      <c r="AI21" s="434"/>
      <c r="AJ21" s="433"/>
      <c r="AK21" s="433"/>
      <c r="AL21" s="435"/>
      <c r="AM21" s="100"/>
      <c r="AN21" s="101">
        <f t="shared" ref="AN21:AN50" si="2">SUM(AD21:AL21)</f>
        <v>0</v>
      </c>
      <c r="AO21" s="13"/>
      <c r="AP21" s="13"/>
      <c r="AR21" s="163"/>
      <c r="AS21" s="165"/>
      <c r="BC21" s="163"/>
      <c r="BD21" s="168"/>
    </row>
    <row r="22" spans="1:60" x14ac:dyDescent="0.25">
      <c r="A22" s="231" t="s">
        <v>29</v>
      </c>
      <c r="B22" s="342"/>
      <c r="C22" s="342"/>
      <c r="D22" s="342"/>
      <c r="E22" s="342"/>
      <c r="F22" s="342"/>
      <c r="G22" s="342"/>
      <c r="H22" s="342"/>
      <c r="I22" s="342"/>
      <c r="J22" s="342"/>
      <c r="K22" s="570"/>
      <c r="L22" s="490">
        <f>AG51</f>
        <v>0</v>
      </c>
      <c r="M22" s="490"/>
      <c r="N22" s="490"/>
      <c r="O22" s="491"/>
      <c r="P22" s="523">
        <f>+P19*(1+X15)</f>
        <v>0</v>
      </c>
      <c r="Q22" s="524"/>
      <c r="R22" s="524"/>
      <c r="S22" s="525"/>
      <c r="T22" s="574">
        <f t="shared" si="1"/>
        <v>0</v>
      </c>
      <c r="U22" s="368"/>
      <c r="V22" s="368"/>
      <c r="W22" s="575"/>
      <c r="X22" s="77"/>
      <c r="Y22" s="77"/>
      <c r="Z22" s="77"/>
      <c r="AA22" s="65"/>
      <c r="AB22" s="432">
        <f>+$X$3+2</f>
        <v>45660</v>
      </c>
      <c r="AC22" s="432">
        <f>+$D$6+2</f>
        <v>2</v>
      </c>
      <c r="AD22" s="433"/>
      <c r="AE22" s="433"/>
      <c r="AF22" s="433"/>
      <c r="AG22" s="434"/>
      <c r="AH22" s="434"/>
      <c r="AI22" s="434"/>
      <c r="AJ22" s="433"/>
      <c r="AK22" s="433"/>
      <c r="AL22" s="435"/>
      <c r="AM22" s="100"/>
      <c r="AN22" s="101">
        <f t="shared" si="2"/>
        <v>0</v>
      </c>
      <c r="AO22" s="13"/>
      <c r="AP22" s="13"/>
      <c r="AR22" s="163"/>
      <c r="AS22" s="165"/>
      <c r="BC22" s="163"/>
      <c r="BD22" s="168"/>
    </row>
    <row r="23" spans="1:60" x14ac:dyDescent="0.25">
      <c r="A23" s="343" t="s">
        <v>30</v>
      </c>
      <c r="B23" s="344"/>
      <c r="C23" s="344"/>
      <c r="D23" s="344"/>
      <c r="E23" s="344"/>
      <c r="F23" s="344"/>
      <c r="G23" s="344"/>
      <c r="H23" s="344"/>
      <c r="I23" s="344"/>
      <c r="J23" s="344"/>
      <c r="K23" s="608"/>
      <c r="L23" s="490">
        <f>+AJ51</f>
        <v>0</v>
      </c>
      <c r="M23" s="490"/>
      <c r="N23" s="490"/>
      <c r="O23" s="491"/>
      <c r="P23" s="523">
        <f>+AL14*(1+M15)</f>
        <v>0</v>
      </c>
      <c r="Q23" s="524"/>
      <c r="R23" s="524"/>
      <c r="S23" s="525"/>
      <c r="T23" s="574">
        <f t="shared" si="1"/>
        <v>0</v>
      </c>
      <c r="U23" s="368"/>
      <c r="V23" s="368"/>
      <c r="W23" s="575"/>
      <c r="X23" s="78"/>
      <c r="Y23" s="78"/>
      <c r="Z23" s="78"/>
      <c r="AA23" s="65"/>
      <c r="AB23" s="432">
        <f>+$X$3+3</f>
        <v>45661</v>
      </c>
      <c r="AC23" s="432">
        <f>+$D$6+3</f>
        <v>3</v>
      </c>
      <c r="AD23" s="433"/>
      <c r="AE23" s="433"/>
      <c r="AF23" s="433"/>
      <c r="AG23" s="434"/>
      <c r="AH23" s="434"/>
      <c r="AI23" s="434"/>
      <c r="AJ23" s="433"/>
      <c r="AK23" s="433"/>
      <c r="AL23" s="435"/>
      <c r="AM23" s="100"/>
      <c r="AN23" s="101">
        <f t="shared" si="2"/>
        <v>0</v>
      </c>
      <c r="AO23" s="13"/>
      <c r="AP23" s="13"/>
      <c r="AR23" s="163"/>
      <c r="AS23" s="165"/>
      <c r="BC23" s="163"/>
      <c r="BD23" s="168"/>
      <c r="BG23" t="s">
        <v>216</v>
      </c>
      <c r="BH23">
        <f>+VLOOKUP(X3,BC20:BD23,2,TRUE)</f>
        <v>3925</v>
      </c>
    </row>
    <row r="24" spans="1:60" x14ac:dyDescent="0.25">
      <c r="A24" s="510" t="s">
        <v>31</v>
      </c>
      <c r="B24" s="529" t="s">
        <v>32</v>
      </c>
      <c r="C24" s="530"/>
      <c r="D24" s="530"/>
      <c r="E24" s="530"/>
      <c r="F24" s="530"/>
      <c r="G24" s="530"/>
      <c r="H24" s="530"/>
      <c r="I24" s="530"/>
      <c r="J24" s="530"/>
      <c r="K24" s="531"/>
      <c r="L24" s="490">
        <f>+IF(AR38=BX1,-1*'Retenue sur salaire'!I38,-1*'Retenue sur salaire'!I39)</f>
        <v>0</v>
      </c>
      <c r="M24" s="490"/>
      <c r="N24" s="490"/>
      <c r="O24" s="491"/>
      <c r="P24" s="523" t="e">
        <f>+T24/L24</f>
        <v>#DIV/0!</v>
      </c>
      <c r="Q24" s="524"/>
      <c r="R24" s="524"/>
      <c r="S24" s="525"/>
      <c r="T24" s="526">
        <f>+-1*'Retenue sur salaire'!H26</f>
        <v>0</v>
      </c>
      <c r="U24" s="527"/>
      <c r="V24" s="527"/>
      <c r="W24" s="528"/>
      <c r="X24" s="77"/>
      <c r="Y24" s="77"/>
      <c r="Z24" s="77"/>
      <c r="AA24" s="65"/>
      <c r="AB24" s="432">
        <f>+$X$3+4</f>
        <v>45662</v>
      </c>
      <c r="AC24" s="432">
        <f>+$D$6+4</f>
        <v>4</v>
      </c>
      <c r="AD24" s="433"/>
      <c r="AE24" s="433"/>
      <c r="AF24" s="433"/>
      <c r="AG24" s="434"/>
      <c r="AH24" s="434"/>
      <c r="AI24" s="434"/>
      <c r="AJ24" s="433"/>
      <c r="AK24" s="433"/>
      <c r="AL24" s="435"/>
      <c r="AM24" s="100"/>
      <c r="AN24" s="101">
        <f t="shared" si="2"/>
        <v>0</v>
      </c>
      <c r="AO24" s="13"/>
      <c r="AP24" s="13"/>
      <c r="AR24" s="163"/>
      <c r="AS24" s="165"/>
    </row>
    <row r="25" spans="1:60" x14ac:dyDescent="0.25">
      <c r="A25" s="511"/>
      <c r="B25" s="520" t="s">
        <v>33</v>
      </c>
      <c r="C25" s="521"/>
      <c r="D25" s="521"/>
      <c r="E25" s="521"/>
      <c r="F25" s="521"/>
      <c r="G25" s="521"/>
      <c r="H25" s="521"/>
      <c r="I25" s="521"/>
      <c r="J25" s="521"/>
      <c r="K25" s="522"/>
      <c r="L25" s="490">
        <f>+IF(AR38=BX1,-1*'Retenue sur salaire'!I43,-1*'Retenue sur salaire'!I44)</f>
        <v>0</v>
      </c>
      <c r="M25" s="490"/>
      <c r="N25" s="490"/>
      <c r="O25" s="491"/>
      <c r="P25" s="523" t="e">
        <f>+T25/L25</f>
        <v>#DIV/0!</v>
      </c>
      <c r="Q25" s="524"/>
      <c r="R25" s="524"/>
      <c r="S25" s="525"/>
      <c r="T25" s="526">
        <f>+-1*'Retenue sur salaire'!H29</f>
        <v>0</v>
      </c>
      <c r="U25" s="527"/>
      <c r="V25" s="527"/>
      <c r="W25" s="528"/>
      <c r="X25" s="102"/>
      <c r="Y25" s="102"/>
      <c r="Z25" s="102"/>
      <c r="AA25" s="65"/>
      <c r="AB25" s="432">
        <f>+$X$3+5</f>
        <v>45663</v>
      </c>
      <c r="AC25" s="432">
        <f>+$D$6+5</f>
        <v>5</v>
      </c>
      <c r="AD25" s="433"/>
      <c r="AE25" s="433"/>
      <c r="AF25" s="433"/>
      <c r="AG25" s="434"/>
      <c r="AH25" s="434"/>
      <c r="AI25" s="434"/>
      <c r="AJ25" s="433"/>
      <c r="AK25" s="433"/>
      <c r="AL25" s="435"/>
      <c r="AM25" s="100"/>
      <c r="AN25" s="101">
        <f t="shared" si="2"/>
        <v>0</v>
      </c>
      <c r="AO25" s="13"/>
      <c r="AP25" s="13"/>
    </row>
    <row r="26" spans="1:60" x14ac:dyDescent="0.25">
      <c r="A26" s="504" t="s">
        <v>34</v>
      </c>
      <c r="B26" s="507"/>
      <c r="C26" s="508"/>
      <c r="D26" s="508"/>
      <c r="E26" s="508"/>
      <c r="F26" s="508"/>
      <c r="G26" s="508"/>
      <c r="H26" s="508"/>
      <c r="I26" s="508"/>
      <c r="J26" s="508"/>
      <c r="K26" s="509"/>
      <c r="L26" s="313"/>
      <c r="M26" s="313"/>
      <c r="N26" s="313"/>
      <c r="O26" s="496"/>
      <c r="P26" s="497"/>
      <c r="Q26" s="313"/>
      <c r="R26" s="313"/>
      <c r="S26" s="496"/>
      <c r="T26" s="498"/>
      <c r="U26" s="494"/>
      <c r="V26" s="494"/>
      <c r="W26" s="499"/>
      <c r="AA26" s="65"/>
      <c r="AB26" s="432">
        <f>+$X$3+6</f>
        <v>45664</v>
      </c>
      <c r="AC26" s="432">
        <f>+$D$6+6</f>
        <v>6</v>
      </c>
      <c r="AD26" s="433"/>
      <c r="AE26" s="433"/>
      <c r="AF26" s="433"/>
      <c r="AG26" s="434"/>
      <c r="AH26" s="434"/>
      <c r="AI26" s="434"/>
      <c r="AJ26" s="433"/>
      <c r="AK26" s="433"/>
      <c r="AL26" s="435"/>
      <c r="AM26" s="100"/>
      <c r="AN26" s="101">
        <f t="shared" si="2"/>
        <v>0</v>
      </c>
      <c r="AO26" s="13"/>
      <c r="AP26" s="13"/>
      <c r="AR26" s="13" t="s">
        <v>250</v>
      </c>
    </row>
    <row r="27" spans="1:60" x14ac:dyDescent="0.25">
      <c r="A27" s="505"/>
      <c r="B27" s="512"/>
      <c r="C27" s="513"/>
      <c r="D27" s="513"/>
      <c r="E27" s="513"/>
      <c r="F27" s="513"/>
      <c r="G27" s="513"/>
      <c r="H27" s="513"/>
      <c r="I27" s="513"/>
      <c r="J27" s="513"/>
      <c r="K27" s="514"/>
      <c r="L27" s="515"/>
      <c r="M27" s="515"/>
      <c r="N27" s="515"/>
      <c r="O27" s="516"/>
      <c r="P27" s="517"/>
      <c r="Q27" s="518"/>
      <c r="R27" s="518"/>
      <c r="S27" s="519"/>
      <c r="T27" s="498"/>
      <c r="U27" s="494"/>
      <c r="V27" s="494"/>
      <c r="W27" s="499"/>
      <c r="X27" s="102"/>
      <c r="Y27" s="102"/>
      <c r="Z27" s="102"/>
      <c r="AA27" s="65"/>
      <c r="AB27" s="432">
        <f>+$X$3+7</f>
        <v>45665</v>
      </c>
      <c r="AC27" s="432">
        <f>+$D$6+7</f>
        <v>7</v>
      </c>
      <c r="AD27" s="433"/>
      <c r="AE27" s="433"/>
      <c r="AF27" s="433"/>
      <c r="AG27" s="434"/>
      <c r="AH27" s="434"/>
      <c r="AI27" s="434"/>
      <c r="AJ27" s="433"/>
      <c r="AK27" s="433"/>
      <c r="AL27" s="435"/>
      <c r="AM27" s="100"/>
      <c r="AN27" s="101">
        <f t="shared" si="2"/>
        <v>0</v>
      </c>
      <c r="AO27" s="13"/>
      <c r="AP27" s="13"/>
      <c r="AR27" s="92">
        <f>VLOOKUP(X3,BC8:BD11,2,TRUE)</f>
        <v>0.86419999999999997</v>
      </c>
    </row>
    <row r="28" spans="1:60" x14ac:dyDescent="0.25">
      <c r="A28" s="505"/>
      <c r="B28" s="487" t="s">
        <v>220</v>
      </c>
      <c r="C28" s="488"/>
      <c r="D28" s="488"/>
      <c r="E28" s="488"/>
      <c r="F28" s="488"/>
      <c r="G28" s="488"/>
      <c r="H28" s="488"/>
      <c r="I28" s="488"/>
      <c r="J28" s="488"/>
      <c r="K28" s="489"/>
      <c r="L28" s="313"/>
      <c r="M28" s="313"/>
      <c r="N28" s="313"/>
      <c r="O28" s="496"/>
      <c r="P28" s="497"/>
      <c r="Q28" s="313"/>
      <c r="R28" s="313"/>
      <c r="S28" s="496"/>
      <c r="T28" s="498"/>
      <c r="U28" s="494"/>
      <c r="V28" s="494"/>
      <c r="W28" s="499"/>
      <c r="X28" s="102"/>
      <c r="Y28" s="102"/>
      <c r="Z28" s="102"/>
      <c r="AA28" s="91"/>
      <c r="AB28" s="432">
        <f>+$X$3+8</f>
        <v>45666</v>
      </c>
      <c r="AC28" s="432">
        <f>+$D$6+8</f>
        <v>8</v>
      </c>
      <c r="AD28" s="433"/>
      <c r="AE28" s="433"/>
      <c r="AF28" s="433"/>
      <c r="AG28" s="434"/>
      <c r="AH28" s="434"/>
      <c r="AI28" s="434"/>
      <c r="AJ28" s="433"/>
      <c r="AK28" s="433"/>
      <c r="AL28" s="435"/>
      <c r="AM28" s="100"/>
      <c r="AN28" s="101">
        <f t="shared" si="2"/>
        <v>0</v>
      </c>
      <c r="AO28" s="13"/>
      <c r="AP28" s="13"/>
    </row>
    <row r="29" spans="1:60" x14ac:dyDescent="0.25">
      <c r="A29" s="505"/>
      <c r="B29" s="487" t="s">
        <v>36</v>
      </c>
      <c r="C29" s="488"/>
      <c r="D29" s="488"/>
      <c r="E29" s="488"/>
      <c r="F29" s="488"/>
      <c r="G29" s="488"/>
      <c r="H29" s="488"/>
      <c r="I29" s="488"/>
      <c r="J29" s="488"/>
      <c r="K29" s="489"/>
      <c r="L29" s="313"/>
      <c r="M29" s="313"/>
      <c r="N29" s="313"/>
      <c r="O29" s="496"/>
      <c r="P29" s="492"/>
      <c r="Q29" s="490"/>
      <c r="R29" s="490"/>
      <c r="S29" s="491"/>
      <c r="T29" s="498"/>
      <c r="U29" s="494"/>
      <c r="V29" s="494"/>
      <c r="W29" s="499"/>
      <c r="X29" s="102"/>
      <c r="Y29" s="102"/>
      <c r="Z29" s="102"/>
      <c r="AB29" s="432">
        <f>+$X$3+9</f>
        <v>45667</v>
      </c>
      <c r="AC29" s="432">
        <f>+$D$6+9</f>
        <v>9</v>
      </c>
      <c r="AD29" s="433"/>
      <c r="AE29" s="433"/>
      <c r="AF29" s="433"/>
      <c r="AG29" s="434"/>
      <c r="AH29" s="434"/>
      <c r="AI29" s="434"/>
      <c r="AJ29" s="433"/>
      <c r="AK29" s="433"/>
      <c r="AL29" s="435"/>
      <c r="AM29" s="100"/>
      <c r="AN29" s="101">
        <f t="shared" si="2"/>
        <v>0</v>
      </c>
      <c r="AO29" s="13"/>
      <c r="AP29" s="13"/>
    </row>
    <row r="30" spans="1:60" x14ac:dyDescent="0.25">
      <c r="A30" s="505"/>
      <c r="B30" s="487" t="s">
        <v>37</v>
      </c>
      <c r="C30" s="488"/>
      <c r="D30" s="488"/>
      <c r="E30" s="488"/>
      <c r="F30" s="488"/>
      <c r="G30" s="488"/>
      <c r="H30" s="488"/>
      <c r="I30" s="488"/>
      <c r="J30" s="488"/>
      <c r="K30" s="489"/>
      <c r="L30" s="490"/>
      <c r="M30" s="490"/>
      <c r="N30" s="490"/>
      <c r="O30" s="491"/>
      <c r="P30" s="492"/>
      <c r="Q30" s="490"/>
      <c r="R30" s="490"/>
      <c r="S30" s="491"/>
      <c r="T30" s="493"/>
      <c r="U30" s="494"/>
      <c r="V30" s="494"/>
      <c r="W30" s="495"/>
      <c r="X30" s="102"/>
      <c r="Y30" s="102"/>
      <c r="Z30" s="102"/>
      <c r="AA30" s="76"/>
      <c r="AB30" s="432">
        <f>+$X$3+10</f>
        <v>45668</v>
      </c>
      <c r="AC30" s="432">
        <f>+$D$6+10</f>
        <v>10</v>
      </c>
      <c r="AD30" s="433"/>
      <c r="AE30" s="433"/>
      <c r="AF30" s="433"/>
      <c r="AG30" s="434"/>
      <c r="AH30" s="434"/>
      <c r="AI30" s="434"/>
      <c r="AJ30" s="433"/>
      <c r="AK30" s="433"/>
      <c r="AL30" s="435"/>
      <c r="AM30" s="100"/>
      <c r="AN30" s="101">
        <f t="shared" si="2"/>
        <v>0</v>
      </c>
      <c r="AO30" s="13"/>
      <c r="AP30" s="13"/>
      <c r="AR30" s="548" t="s">
        <v>118</v>
      </c>
      <c r="AS30" s="548"/>
      <c r="AT30" s="548"/>
      <c r="AU30" s="548"/>
    </row>
    <row r="31" spans="1:60" x14ac:dyDescent="0.25">
      <c r="A31" s="505"/>
      <c r="B31" s="487" t="s">
        <v>38</v>
      </c>
      <c r="C31" s="488"/>
      <c r="D31" s="488"/>
      <c r="E31" s="488"/>
      <c r="F31" s="488"/>
      <c r="G31" s="488"/>
      <c r="H31" s="488"/>
      <c r="I31" s="488"/>
      <c r="J31" s="488"/>
      <c r="K31" s="489"/>
      <c r="L31" s="490"/>
      <c r="M31" s="490"/>
      <c r="N31" s="490"/>
      <c r="O31" s="491"/>
      <c r="P31" s="492"/>
      <c r="Q31" s="490"/>
      <c r="R31" s="490"/>
      <c r="S31" s="491"/>
      <c r="T31" s="493"/>
      <c r="U31" s="494"/>
      <c r="V31" s="494"/>
      <c r="W31" s="495"/>
      <c r="X31" s="102"/>
      <c r="Y31" s="102"/>
      <c r="Z31" s="102"/>
      <c r="AA31" s="65"/>
      <c r="AB31" s="432">
        <f>+$X$3+11</f>
        <v>45669</v>
      </c>
      <c r="AC31" s="432">
        <f>+$D$6+11</f>
        <v>11</v>
      </c>
      <c r="AD31" s="433"/>
      <c r="AE31" s="433"/>
      <c r="AF31" s="433"/>
      <c r="AG31" s="434"/>
      <c r="AH31" s="434"/>
      <c r="AI31" s="434"/>
      <c r="AJ31" s="433"/>
      <c r="AK31" s="433"/>
      <c r="AL31" s="435"/>
      <c r="AM31" s="100"/>
      <c r="AN31" s="101">
        <f t="shared" si="2"/>
        <v>0</v>
      </c>
      <c r="AO31" s="13"/>
      <c r="AP31" s="13"/>
      <c r="AR31" s="548"/>
      <c r="AS31" s="548"/>
      <c r="AT31" s="548"/>
      <c r="AU31" s="548"/>
    </row>
    <row r="32" spans="1:60" x14ac:dyDescent="0.25">
      <c r="A32" s="506"/>
      <c r="B32" s="478" t="s">
        <v>39</v>
      </c>
      <c r="C32" s="479"/>
      <c r="D32" s="479"/>
      <c r="E32" s="479"/>
      <c r="F32" s="479"/>
      <c r="G32" s="479"/>
      <c r="H32" s="479"/>
      <c r="I32" s="479"/>
      <c r="J32" s="479"/>
      <c r="K32" s="480"/>
      <c r="L32" s="481"/>
      <c r="M32" s="481"/>
      <c r="N32" s="481"/>
      <c r="O32" s="482"/>
      <c r="P32" s="483"/>
      <c r="Q32" s="481"/>
      <c r="R32" s="481"/>
      <c r="S32" s="482"/>
      <c r="T32" s="484"/>
      <c r="U32" s="485"/>
      <c r="V32" s="485"/>
      <c r="W32" s="486"/>
      <c r="X32" s="102"/>
      <c r="Y32" s="102"/>
      <c r="Z32" s="102"/>
      <c r="AA32" s="65"/>
      <c r="AB32" s="432">
        <f>+$X$3+12</f>
        <v>45670</v>
      </c>
      <c r="AC32" s="432">
        <f>+$D$6+12</f>
        <v>12</v>
      </c>
      <c r="AD32" s="433"/>
      <c r="AE32" s="433"/>
      <c r="AF32" s="433"/>
      <c r="AG32" s="434"/>
      <c r="AH32" s="434"/>
      <c r="AI32" s="434"/>
      <c r="AJ32" s="433"/>
      <c r="AK32" s="433"/>
      <c r="AL32" s="435"/>
      <c r="AM32" s="100"/>
      <c r="AN32" s="101">
        <f t="shared" si="2"/>
        <v>0</v>
      </c>
      <c r="AO32" s="13"/>
      <c r="AP32" s="13"/>
      <c r="AR32" s="548"/>
      <c r="AS32" s="548"/>
      <c r="AT32" s="548"/>
      <c r="AU32" s="548"/>
    </row>
    <row r="33" spans="1:47" x14ac:dyDescent="0.25">
      <c r="L33" s="500" t="s">
        <v>40</v>
      </c>
      <c r="M33" s="501"/>
      <c r="N33" s="501"/>
      <c r="O33" s="501"/>
      <c r="P33" s="501"/>
      <c r="Q33" s="501"/>
      <c r="R33" s="501"/>
      <c r="S33" s="502"/>
      <c r="T33" s="503">
        <f>+SUM(T19:W32)</f>
        <v>0</v>
      </c>
      <c r="U33" s="293"/>
      <c r="V33" s="293"/>
      <c r="W33" s="294"/>
      <c r="X33" s="103"/>
      <c r="Y33" s="103"/>
      <c r="Z33" s="103"/>
      <c r="AA33" s="65"/>
      <c r="AB33" s="432">
        <f>+$X$3+13</f>
        <v>45671</v>
      </c>
      <c r="AC33" s="432">
        <f>+$D$6+13</f>
        <v>13</v>
      </c>
      <c r="AD33" s="433"/>
      <c r="AE33" s="433"/>
      <c r="AF33" s="433"/>
      <c r="AG33" s="434"/>
      <c r="AH33" s="434"/>
      <c r="AI33" s="434"/>
      <c r="AJ33" s="433"/>
      <c r="AK33" s="433"/>
      <c r="AL33" s="435"/>
      <c r="AM33" s="100"/>
      <c r="AN33" s="101">
        <f t="shared" si="2"/>
        <v>0</v>
      </c>
      <c r="AO33" s="13"/>
      <c r="AP33" s="13"/>
      <c r="AR33" s="166" t="s">
        <v>108</v>
      </c>
      <c r="AS33" s="152"/>
      <c r="AT33" s="152"/>
      <c r="AU33" s="152"/>
    </row>
    <row r="34" spans="1:47" x14ac:dyDescent="0.25">
      <c r="J34" s="61"/>
      <c r="K34" s="61"/>
      <c r="L34" s="61"/>
      <c r="M34" s="61"/>
      <c r="N34" s="61"/>
      <c r="O34" s="104"/>
      <c r="P34" s="103"/>
      <c r="Q34" s="103"/>
      <c r="R34" s="103"/>
      <c r="S34" s="103"/>
      <c r="T34" s="103"/>
      <c r="U34" s="103"/>
      <c r="V34" s="103"/>
      <c r="W34" s="103"/>
      <c r="X34" s="103"/>
      <c r="Y34" s="103"/>
      <c r="Z34" s="103"/>
      <c r="AB34" s="432">
        <f>+$X$3+14</f>
        <v>45672</v>
      </c>
      <c r="AC34" s="432">
        <f>+$D$6+13</f>
        <v>13</v>
      </c>
      <c r="AD34" s="433"/>
      <c r="AE34" s="433"/>
      <c r="AF34" s="433"/>
      <c r="AG34" s="434"/>
      <c r="AH34" s="434"/>
      <c r="AI34" s="434"/>
      <c r="AJ34" s="433"/>
      <c r="AK34" s="433"/>
      <c r="AL34" s="435"/>
      <c r="AM34" s="100"/>
      <c r="AN34" s="101">
        <f t="shared" si="2"/>
        <v>0</v>
      </c>
      <c r="AO34" s="13"/>
      <c r="AP34" s="13"/>
    </row>
    <row r="35" spans="1:47" x14ac:dyDescent="0.25">
      <c r="H35" s="350" t="s">
        <v>41</v>
      </c>
      <c r="I35" s="351"/>
      <c r="J35" s="351"/>
      <c r="K35" s="351"/>
      <c r="L35" s="351"/>
      <c r="M35" s="351"/>
      <c r="N35" s="351"/>
      <c r="O35" s="351"/>
      <c r="P35" s="352"/>
      <c r="R35" s="470" t="s">
        <v>42</v>
      </c>
      <c r="S35" s="471"/>
      <c r="T35" s="471"/>
      <c r="U35" s="471"/>
      <c r="V35" s="471"/>
      <c r="W35" s="471"/>
      <c r="X35" s="471"/>
      <c r="Y35" s="471"/>
      <c r="Z35" s="472"/>
      <c r="AA35" s="65"/>
      <c r="AB35" s="432">
        <f>+$X$3+15</f>
        <v>45673</v>
      </c>
      <c r="AC35" s="432">
        <f>+$D$6+15</f>
        <v>15</v>
      </c>
      <c r="AD35" s="433"/>
      <c r="AE35" s="433"/>
      <c r="AF35" s="433"/>
      <c r="AG35" s="434"/>
      <c r="AH35" s="434"/>
      <c r="AI35" s="434"/>
      <c r="AJ35" s="433"/>
      <c r="AK35" s="433"/>
      <c r="AL35" s="435"/>
      <c r="AM35" s="100"/>
      <c r="AN35" s="101">
        <f t="shared" si="2"/>
        <v>0</v>
      </c>
      <c r="AO35" s="13"/>
      <c r="AP35" s="13"/>
    </row>
    <row r="36" spans="1:47" x14ac:dyDescent="0.25">
      <c r="A36" s="460" t="s">
        <v>43</v>
      </c>
      <c r="B36" s="460"/>
      <c r="C36" s="460"/>
      <c r="D36" s="460"/>
      <c r="E36" s="460"/>
      <c r="F36" s="460"/>
      <c r="G36" s="461"/>
      <c r="H36" s="462" t="s">
        <v>22</v>
      </c>
      <c r="I36" s="463"/>
      <c r="J36" s="464"/>
      <c r="K36" s="465" t="s">
        <v>23</v>
      </c>
      <c r="L36" s="463"/>
      <c r="M36" s="464"/>
      <c r="N36" s="465" t="s">
        <v>24</v>
      </c>
      <c r="O36" s="463"/>
      <c r="P36" s="466"/>
      <c r="Q36" s="76"/>
      <c r="R36" s="467" t="s">
        <v>22</v>
      </c>
      <c r="S36" s="468"/>
      <c r="T36" s="469"/>
      <c r="U36" s="467" t="s">
        <v>23</v>
      </c>
      <c r="V36" s="468"/>
      <c r="W36" s="469"/>
      <c r="X36" s="473" t="s">
        <v>24</v>
      </c>
      <c r="Y36" s="474"/>
      <c r="Z36" s="475"/>
      <c r="AA36" s="65"/>
      <c r="AB36" s="432">
        <f>+$X$3+16</f>
        <v>45674</v>
      </c>
      <c r="AC36" s="432">
        <f>+$D$6+16</f>
        <v>16</v>
      </c>
      <c r="AD36" s="433"/>
      <c r="AE36" s="433"/>
      <c r="AF36" s="433"/>
      <c r="AG36" s="434"/>
      <c r="AH36" s="434"/>
      <c r="AI36" s="434"/>
      <c r="AJ36" s="433"/>
      <c r="AK36" s="433"/>
      <c r="AL36" s="435"/>
      <c r="AM36" s="100"/>
      <c r="AN36" s="101">
        <f t="shared" si="2"/>
        <v>0</v>
      </c>
      <c r="AO36" s="13"/>
      <c r="AP36" s="13"/>
    </row>
    <row r="37" spans="1:47" x14ac:dyDescent="0.25">
      <c r="A37" s="442" t="str">
        <f>+Taux_cotisations!A9</f>
        <v>Santé :</v>
      </c>
      <c r="B37" s="443"/>
      <c r="C37" s="443"/>
      <c r="D37" s="443"/>
      <c r="E37" s="443"/>
      <c r="F37" s="443"/>
      <c r="G37" s="444"/>
      <c r="H37" s="445"/>
      <c r="I37" s="446"/>
      <c r="J37" s="447"/>
      <c r="K37" s="448"/>
      <c r="L37" s="449"/>
      <c r="M37" s="450"/>
      <c r="N37" s="451"/>
      <c r="O37" s="452"/>
      <c r="P37" s="453"/>
      <c r="Q37" s="76"/>
      <c r="R37" s="454"/>
      <c r="S37" s="455"/>
      <c r="T37" s="456"/>
      <c r="U37" s="457"/>
      <c r="V37" s="458"/>
      <c r="W37" s="459"/>
      <c r="X37" s="476"/>
      <c r="Y37" s="476"/>
      <c r="Z37" s="477"/>
      <c r="AA37" s="65"/>
      <c r="AB37" s="432">
        <f>+$X$3+17</f>
        <v>45675</v>
      </c>
      <c r="AC37" s="432">
        <f>+$D$6+17</f>
        <v>17</v>
      </c>
      <c r="AD37" s="433"/>
      <c r="AE37" s="433"/>
      <c r="AF37" s="433"/>
      <c r="AG37" s="434"/>
      <c r="AH37" s="434"/>
      <c r="AI37" s="434"/>
      <c r="AJ37" s="433"/>
      <c r="AK37" s="433"/>
      <c r="AL37" s="435"/>
      <c r="AM37" s="100"/>
      <c r="AN37" s="101">
        <f t="shared" si="2"/>
        <v>0</v>
      </c>
      <c r="AO37" s="13"/>
      <c r="AP37" s="13"/>
      <c r="AR37" s="13" t="s">
        <v>183</v>
      </c>
    </row>
    <row r="38" spans="1:47" x14ac:dyDescent="0.25">
      <c r="A38" s="436" t="str">
        <f>+Taux_cotisations!A10</f>
        <v>Séc. Soc. Maladie invalidité</v>
      </c>
      <c r="B38" s="437"/>
      <c r="C38" s="437"/>
      <c r="D38" s="437"/>
      <c r="E38" s="437"/>
      <c r="F38" s="437"/>
      <c r="G38" s="438"/>
      <c r="H38" s="214">
        <f>+T33*INDEX(table_coef_base_salariale,MATCH(A38,Taux_cotisations!$A$75:$A$102,0),MATCH($X$3,Taux_cotisations!$A$75:$M$75,0))</f>
        <v>0</v>
      </c>
      <c r="I38" s="215"/>
      <c r="J38" s="216"/>
      <c r="K38" s="217">
        <f>INDEX(table_taux_salariale,MATCH(A38,Taux_cotisations!$A$6:$A$32,0),MATCH($X$3,Taux_cotisations!$A$6:$M$6,0))</f>
        <v>2.75E-2</v>
      </c>
      <c r="L38" s="218"/>
      <c r="M38" s="219"/>
      <c r="N38" s="220">
        <f>ROUND(K38*H38,4)</f>
        <v>0</v>
      </c>
      <c r="O38" s="221"/>
      <c r="P38" s="222"/>
      <c r="Q38" s="77"/>
      <c r="R38" s="223"/>
      <c r="S38" s="224"/>
      <c r="T38" s="225"/>
      <c r="U38" s="226"/>
      <c r="V38" s="227"/>
      <c r="W38" s="228"/>
      <c r="X38" s="229"/>
      <c r="Y38" s="230"/>
      <c r="Z38" s="230"/>
      <c r="AA38" s="65"/>
      <c r="AB38" s="432">
        <f>+$X$3+18</f>
        <v>45676</v>
      </c>
      <c r="AC38" s="432">
        <f>+$D$6+18</f>
        <v>18</v>
      </c>
      <c r="AD38" s="433"/>
      <c r="AE38" s="433"/>
      <c r="AF38" s="433"/>
      <c r="AG38" s="434"/>
      <c r="AH38" s="434"/>
      <c r="AI38" s="434"/>
      <c r="AJ38" s="433"/>
      <c r="AK38" s="433"/>
      <c r="AL38" s="435"/>
      <c r="AM38" s="100"/>
      <c r="AN38" s="101">
        <f t="shared" si="2"/>
        <v>0</v>
      </c>
      <c r="AO38" s="13"/>
      <c r="AP38" s="13"/>
      <c r="AR38" s="595" t="s">
        <v>185</v>
      </c>
      <c r="AS38" s="595"/>
    </row>
    <row r="39" spans="1:47" x14ac:dyDescent="0.25">
      <c r="A39" s="436"/>
      <c r="B39" s="437"/>
      <c r="C39" s="437"/>
      <c r="D39" s="437"/>
      <c r="E39" s="437"/>
      <c r="F39" s="437"/>
      <c r="G39" s="438"/>
      <c r="H39" s="214"/>
      <c r="I39" s="215"/>
      <c r="J39" s="216"/>
      <c r="K39" s="217"/>
      <c r="L39" s="218"/>
      <c r="M39" s="219"/>
      <c r="N39" s="220"/>
      <c r="O39" s="221"/>
      <c r="P39" s="222"/>
      <c r="Q39" s="77"/>
      <c r="R39" s="223"/>
      <c r="S39" s="224"/>
      <c r="T39" s="225"/>
      <c r="U39" s="226"/>
      <c r="V39" s="227"/>
      <c r="W39" s="228"/>
      <c r="X39" s="229"/>
      <c r="Y39" s="230"/>
      <c r="Z39" s="230"/>
      <c r="AA39" s="65"/>
      <c r="AB39" s="432">
        <f>+$X$3+19</f>
        <v>45677</v>
      </c>
      <c r="AC39" s="432">
        <f>+$D$6+19</f>
        <v>19</v>
      </c>
      <c r="AD39" s="433"/>
      <c r="AE39" s="433"/>
      <c r="AF39" s="433"/>
      <c r="AG39" s="434"/>
      <c r="AH39" s="434"/>
      <c r="AI39" s="434"/>
      <c r="AJ39" s="433"/>
      <c r="AK39" s="433"/>
      <c r="AL39" s="435"/>
      <c r="AM39" s="100"/>
      <c r="AN39" s="101">
        <f t="shared" si="2"/>
        <v>0</v>
      </c>
      <c r="AO39" s="13"/>
      <c r="AP39" s="13"/>
    </row>
    <row r="40" spans="1:47" x14ac:dyDescent="0.25">
      <c r="A40" s="436"/>
      <c r="B40" s="437"/>
      <c r="C40" s="437"/>
      <c r="D40" s="437"/>
      <c r="E40" s="437"/>
      <c r="F40" s="437"/>
      <c r="G40" s="438"/>
      <c r="H40" s="214"/>
      <c r="I40" s="215"/>
      <c r="J40" s="216"/>
      <c r="K40" s="217"/>
      <c r="L40" s="218"/>
      <c r="M40" s="219"/>
      <c r="N40" s="220"/>
      <c r="O40" s="221"/>
      <c r="P40" s="222"/>
      <c r="Q40" s="77"/>
      <c r="R40" s="223"/>
      <c r="S40" s="224"/>
      <c r="T40" s="225"/>
      <c r="U40" s="226"/>
      <c r="V40" s="227"/>
      <c r="W40" s="228"/>
      <c r="X40" s="229"/>
      <c r="Y40" s="230"/>
      <c r="Z40" s="230"/>
      <c r="AA40" s="65"/>
      <c r="AB40" s="432">
        <f>+$X$3+20</f>
        <v>45678</v>
      </c>
      <c r="AC40" s="432">
        <f>+$D$6+20</f>
        <v>20</v>
      </c>
      <c r="AD40" s="433"/>
      <c r="AE40" s="433"/>
      <c r="AF40" s="433"/>
      <c r="AG40" s="434"/>
      <c r="AH40" s="434"/>
      <c r="AI40" s="434"/>
      <c r="AJ40" s="433"/>
      <c r="AK40" s="433"/>
      <c r="AL40" s="435"/>
      <c r="AM40" s="100"/>
      <c r="AN40" s="101">
        <f t="shared" si="2"/>
        <v>0</v>
      </c>
      <c r="AO40" s="13"/>
      <c r="AP40" s="13"/>
    </row>
    <row r="41" spans="1:47" x14ac:dyDescent="0.25">
      <c r="H41" s="196"/>
      <c r="J41" s="197"/>
      <c r="K41" s="196"/>
      <c r="M41" s="197"/>
      <c r="N41" s="220"/>
      <c r="O41" s="221"/>
      <c r="P41" s="222"/>
      <c r="R41" s="223"/>
      <c r="S41" s="224"/>
      <c r="T41" s="225"/>
      <c r="U41" s="226"/>
      <c r="V41" s="227"/>
      <c r="W41" s="228"/>
      <c r="X41" s="229"/>
      <c r="Y41" s="230"/>
      <c r="Z41" s="230"/>
      <c r="AA41" s="104"/>
      <c r="AB41" s="432">
        <f>+$X$3+21</f>
        <v>45679</v>
      </c>
      <c r="AC41" s="432">
        <f>+$D$6+21</f>
        <v>21</v>
      </c>
      <c r="AD41" s="433"/>
      <c r="AE41" s="433"/>
      <c r="AF41" s="433"/>
      <c r="AG41" s="434"/>
      <c r="AH41" s="434"/>
      <c r="AI41" s="434"/>
      <c r="AJ41" s="433"/>
      <c r="AK41" s="433"/>
      <c r="AL41" s="435"/>
      <c r="AM41" s="100"/>
      <c r="AN41" s="101">
        <f t="shared" si="2"/>
        <v>0</v>
      </c>
      <c r="AO41" s="13"/>
      <c r="AP41" s="13"/>
    </row>
    <row r="42" spans="1:47" x14ac:dyDescent="0.25">
      <c r="A42" s="439" t="str">
        <f>+Taux_cotisations!A13</f>
        <v>Accident du travail :</v>
      </c>
      <c r="B42" s="440"/>
      <c r="C42" s="440"/>
      <c r="D42" s="440"/>
      <c r="E42" s="440"/>
      <c r="F42" s="440"/>
      <c r="G42" s="441"/>
      <c r="H42" s="214"/>
      <c r="I42" s="215"/>
      <c r="J42" s="216"/>
      <c r="K42" s="217"/>
      <c r="L42" s="218"/>
      <c r="M42" s="219"/>
      <c r="N42" s="220"/>
      <c r="O42" s="221"/>
      <c r="P42" s="222"/>
      <c r="R42" s="223">
        <f>+T33*INDEX(table_coef_base_patronale,MATCH(A42,Taux_cotisations!$A$110:$A$137,0),MATCH($X$3,Taux_cotisations!$A$110:$M$110,0))</f>
        <v>0</v>
      </c>
      <c r="S42" s="224"/>
      <c r="T42" s="225"/>
      <c r="U42" s="226">
        <f>INDEX(table_taux_patronales,MATCH(A42,Taux_cotisations!$A$39:$A$65,0),MATCH($X$3,Taux_cotisations!$A$39:$M$39,0))</f>
        <v>1.4999999999999999E-2</v>
      </c>
      <c r="V42" s="227"/>
      <c r="W42" s="228"/>
      <c r="X42" s="229">
        <f>ROUND(U42*R42,2)</f>
        <v>0</v>
      </c>
      <c r="Y42" s="230"/>
      <c r="Z42" s="230"/>
      <c r="AA42" s="104"/>
      <c r="AB42" s="432">
        <f>+$X$3+22</f>
        <v>45680</v>
      </c>
      <c r="AC42" s="432">
        <f>+$D$6+22</f>
        <v>22</v>
      </c>
      <c r="AD42" s="433"/>
      <c r="AE42" s="433"/>
      <c r="AF42" s="433"/>
      <c r="AG42" s="434"/>
      <c r="AH42" s="434"/>
      <c r="AI42" s="434"/>
      <c r="AJ42" s="433"/>
      <c r="AK42" s="433"/>
      <c r="AL42" s="435"/>
      <c r="AM42" s="100"/>
      <c r="AN42" s="101">
        <f t="shared" si="2"/>
        <v>0</v>
      </c>
      <c r="AO42" s="13"/>
      <c r="AP42" s="13"/>
    </row>
    <row r="43" spans="1:47" x14ac:dyDescent="0.25">
      <c r="H43" s="196"/>
      <c r="J43" s="197"/>
      <c r="K43" s="217"/>
      <c r="L43" s="218"/>
      <c r="M43" s="219"/>
      <c r="N43" s="220"/>
      <c r="O43" s="221"/>
      <c r="P43" s="222"/>
      <c r="R43" s="223"/>
      <c r="S43" s="224"/>
      <c r="T43" s="225"/>
      <c r="U43" s="226"/>
      <c r="V43" s="227"/>
      <c r="W43" s="228"/>
      <c r="X43" s="229"/>
      <c r="Y43" s="230"/>
      <c r="Z43" s="230"/>
      <c r="AB43" s="432">
        <f>+$X$3+23</f>
        <v>45681</v>
      </c>
      <c r="AC43" s="432">
        <f>+$D$6+23</f>
        <v>23</v>
      </c>
      <c r="AD43" s="433"/>
      <c r="AE43" s="433"/>
      <c r="AF43" s="433"/>
      <c r="AG43" s="434"/>
      <c r="AH43" s="434"/>
      <c r="AI43" s="434"/>
      <c r="AJ43" s="433"/>
      <c r="AK43" s="433"/>
      <c r="AL43" s="435"/>
      <c r="AM43" s="100"/>
      <c r="AN43" s="101">
        <f t="shared" si="2"/>
        <v>0</v>
      </c>
      <c r="AO43" s="13"/>
      <c r="AP43" s="13"/>
    </row>
    <row r="44" spans="1:47" x14ac:dyDescent="0.25">
      <c r="A44" s="439" t="str">
        <f>+Taux_cotisations!A14</f>
        <v>Retraite :</v>
      </c>
      <c r="B44" s="440"/>
      <c r="C44" s="440"/>
      <c r="D44" s="440"/>
      <c r="E44" s="440"/>
      <c r="F44" s="440"/>
      <c r="G44" s="441"/>
      <c r="H44" s="214"/>
      <c r="I44" s="215"/>
      <c r="J44" s="216"/>
      <c r="K44" s="217"/>
      <c r="L44" s="218"/>
      <c r="M44" s="219"/>
      <c r="N44" s="220"/>
      <c r="O44" s="221"/>
      <c r="P44" s="222"/>
      <c r="Q44" s="77"/>
      <c r="R44" s="223"/>
      <c r="S44" s="224"/>
      <c r="T44" s="225"/>
      <c r="U44" s="226"/>
      <c r="V44" s="227"/>
      <c r="W44" s="228"/>
      <c r="X44" s="229"/>
      <c r="Y44" s="230"/>
      <c r="Z44" s="230"/>
      <c r="AA44" s="76"/>
      <c r="AB44" s="432">
        <f>+$X$3+24</f>
        <v>45682</v>
      </c>
      <c r="AC44" s="432">
        <f>+$D$6+24</f>
        <v>24</v>
      </c>
      <c r="AD44" s="433"/>
      <c r="AE44" s="433"/>
      <c r="AF44" s="433"/>
      <c r="AG44" s="434"/>
      <c r="AH44" s="434"/>
      <c r="AI44" s="434"/>
      <c r="AJ44" s="433"/>
      <c r="AK44" s="433"/>
      <c r="AL44" s="435"/>
      <c r="AM44" s="100"/>
      <c r="AN44" s="101">
        <f t="shared" si="2"/>
        <v>0</v>
      </c>
      <c r="AO44" s="13"/>
      <c r="AP44" s="13"/>
    </row>
    <row r="45" spans="1:47" x14ac:dyDescent="0.25">
      <c r="A45" s="436" t="str">
        <f>+Taux_cotisations!A15</f>
        <v>Retraite SS T1</v>
      </c>
      <c r="B45" s="437"/>
      <c r="C45" s="437"/>
      <c r="D45" s="437"/>
      <c r="E45" s="437"/>
      <c r="F45" s="437"/>
      <c r="G45" s="438"/>
      <c r="H45" s="214">
        <f>IF(AND(T33&gt;=BH23,T33&gt;0),BH23*INDEX(table_coef_base_salariale,MATCH(A45,Taux_cotisations!$A$75:$A$102,0),MATCH($X$3,Taux_cotisations!$A$75:$M$75,0)),+T33*INDEX(table_coef_base_salariale,MATCH(A45,Taux_cotisations!$A$75:$A$102,0),MATCH($X$3,Taux_cotisations!$A$75:$M$75,0)))</f>
        <v>0</v>
      </c>
      <c r="I45" s="215"/>
      <c r="J45" s="216"/>
      <c r="K45" s="217">
        <f>INDEX(table_taux_salariale,MATCH(A45,Taux_cotisations!$A$6:$A$32,0),MATCH($X$3,Taux_cotisations!$A$6:$M$6,0))</f>
        <v>6.8199999999999997E-2</v>
      </c>
      <c r="L45" s="218"/>
      <c r="M45" s="219"/>
      <c r="N45" s="220">
        <f t="shared" ref="N45:N49" si="3">ROUND(K45*H45,4)</f>
        <v>0</v>
      </c>
      <c r="O45" s="221"/>
      <c r="P45" s="222"/>
      <c r="Q45" s="77"/>
      <c r="R45" s="223"/>
      <c r="S45" s="224"/>
      <c r="T45" s="225"/>
      <c r="U45" s="226"/>
      <c r="V45" s="227"/>
      <c r="W45" s="228"/>
      <c r="X45" s="229"/>
      <c r="Y45" s="230"/>
      <c r="Z45" s="230"/>
      <c r="AA45" s="105"/>
      <c r="AB45" s="432">
        <f>+$X$3+25</f>
        <v>45683</v>
      </c>
      <c r="AC45" s="432">
        <f>+$D$6+25</f>
        <v>25</v>
      </c>
      <c r="AD45" s="433"/>
      <c r="AE45" s="433"/>
      <c r="AF45" s="433"/>
      <c r="AG45" s="434"/>
      <c r="AH45" s="434"/>
      <c r="AI45" s="434"/>
      <c r="AJ45" s="433"/>
      <c r="AK45" s="433"/>
      <c r="AL45" s="435"/>
      <c r="AM45" s="100"/>
      <c r="AN45" s="101">
        <f t="shared" si="2"/>
        <v>0</v>
      </c>
      <c r="AO45" s="13"/>
      <c r="AP45" s="13"/>
    </row>
    <row r="46" spans="1:47" x14ac:dyDescent="0.25">
      <c r="A46" s="436" t="str">
        <f>+Taux_cotisations!A19</f>
        <v>Retraite IRCEM T1 - CEG T1</v>
      </c>
      <c r="B46" s="437"/>
      <c r="C46" s="437"/>
      <c r="D46" s="437"/>
      <c r="E46" s="437"/>
      <c r="F46" s="437"/>
      <c r="G46" s="438"/>
      <c r="H46" s="214">
        <f>+T33*INDEX(table_coef_base_salariale,MATCH(A46,Taux_cotisations!$A$75:$A$102,0),MATCH($X$3,Taux_cotisations!$A$75:$M$75,0))</f>
        <v>0</v>
      </c>
      <c r="I46" s="215"/>
      <c r="J46" s="216"/>
      <c r="K46" s="217">
        <f>INDEX(table_taux_salariale,MATCH(A46,Taux_cotisations!$A$6:$A$32,0),MATCH($X$3,Taux_cotisations!$A$6:$M$6,0))</f>
        <v>4.0099999999999997E-2</v>
      </c>
      <c r="L46" s="218"/>
      <c r="M46" s="219"/>
      <c r="N46" s="220">
        <f>ROUND(K46*H46,4)</f>
        <v>0</v>
      </c>
      <c r="O46" s="221"/>
      <c r="P46" s="222"/>
      <c r="Q46" s="77"/>
      <c r="R46" s="223">
        <f>+T33*INDEX(table_coef_base_patronale,MATCH(A46,Taux_cotisations!$A$110:$A$137,0),MATCH($X$3,Taux_cotisations!$A$110:$M$110,0))</f>
        <v>0</v>
      </c>
      <c r="S46" s="224"/>
      <c r="T46" s="225"/>
      <c r="U46" s="226">
        <f>INDEX(table_taux_patronales,MATCH(A46,Taux_cotisations!$A$39:$A$65,0),MATCH($X$3,Taux_cotisations!$A$39:$M$39,0))</f>
        <v>6.0100000000000001E-2</v>
      </c>
      <c r="V46" s="227"/>
      <c r="W46" s="228"/>
      <c r="X46" s="229">
        <f>ROUND(U46*R46,2)</f>
        <v>0</v>
      </c>
      <c r="Y46" s="230"/>
      <c r="Z46" s="230"/>
      <c r="AA46" s="105"/>
      <c r="AB46" s="432">
        <f>+$X$3+26</f>
        <v>45684</v>
      </c>
      <c r="AC46" s="432">
        <f>+$D$6+26</f>
        <v>26</v>
      </c>
      <c r="AD46" s="433"/>
      <c r="AE46" s="433"/>
      <c r="AF46" s="433"/>
      <c r="AG46" s="434"/>
      <c r="AH46" s="434"/>
      <c r="AI46" s="434"/>
      <c r="AJ46" s="433"/>
      <c r="AK46" s="433"/>
      <c r="AL46" s="435"/>
      <c r="AM46" s="100"/>
      <c r="AN46" s="101">
        <f t="shared" si="2"/>
        <v>0</v>
      </c>
      <c r="AO46" s="13"/>
      <c r="AP46" s="13"/>
    </row>
    <row r="47" spans="1:47" x14ac:dyDescent="0.25">
      <c r="A47" s="190"/>
      <c r="B47" s="191"/>
      <c r="C47" s="191"/>
      <c r="D47" s="191"/>
      <c r="E47" s="191"/>
      <c r="F47" s="191"/>
      <c r="G47" s="191"/>
      <c r="H47" s="214"/>
      <c r="I47" s="215"/>
      <c r="J47" s="216"/>
      <c r="K47" s="217"/>
      <c r="L47" s="218"/>
      <c r="M47" s="219"/>
      <c r="N47" s="220"/>
      <c r="O47" s="221"/>
      <c r="P47" s="222"/>
      <c r="Q47" s="77"/>
      <c r="R47" s="223"/>
      <c r="S47" s="224"/>
      <c r="T47" s="225"/>
      <c r="U47" s="226"/>
      <c r="V47" s="227"/>
      <c r="W47" s="228"/>
      <c r="X47" s="229"/>
      <c r="Y47" s="230"/>
      <c r="Z47" s="230"/>
      <c r="AA47" s="105"/>
      <c r="AB47" s="432">
        <f>+$X$3+27</f>
        <v>45685</v>
      </c>
      <c r="AC47" s="432">
        <f>+$D$6+26</f>
        <v>26</v>
      </c>
      <c r="AD47" s="433"/>
      <c r="AE47" s="433"/>
      <c r="AF47" s="433"/>
      <c r="AG47" s="434"/>
      <c r="AH47" s="434"/>
      <c r="AI47" s="434"/>
      <c r="AJ47" s="433"/>
      <c r="AK47" s="433"/>
      <c r="AL47" s="435"/>
      <c r="AM47" s="100"/>
      <c r="AN47" s="101">
        <f t="shared" si="2"/>
        <v>0</v>
      </c>
      <c r="AO47" s="13"/>
      <c r="AP47" s="13"/>
    </row>
    <row r="48" spans="1:47" x14ac:dyDescent="0.25">
      <c r="A48" s="192"/>
      <c r="B48" s="193"/>
      <c r="C48" s="193"/>
      <c r="D48" s="193"/>
      <c r="E48" s="193"/>
      <c r="F48" s="193"/>
      <c r="G48" s="193"/>
      <c r="H48" s="214"/>
      <c r="I48" s="215"/>
      <c r="J48" s="216"/>
      <c r="K48" s="217"/>
      <c r="L48" s="218"/>
      <c r="M48" s="219"/>
      <c r="N48" s="220"/>
      <c r="O48" s="221"/>
      <c r="P48" s="222"/>
      <c r="Q48" s="78"/>
      <c r="R48" s="223"/>
      <c r="S48" s="224"/>
      <c r="T48" s="225"/>
      <c r="U48" s="226"/>
      <c r="V48" s="227"/>
      <c r="W48" s="228"/>
      <c r="X48" s="229"/>
      <c r="Y48" s="230"/>
      <c r="Z48" s="230"/>
      <c r="AA48" s="105"/>
      <c r="AB48" s="432">
        <f>IF(MONTH($X$3+28)&lt;&gt;MONTH($X$3),"",($X$3+28))</f>
        <v>45686</v>
      </c>
      <c r="AC48" s="432">
        <f>+$D$6+26</f>
        <v>26</v>
      </c>
      <c r="AD48" s="433"/>
      <c r="AE48" s="433"/>
      <c r="AF48" s="433"/>
      <c r="AG48" s="434"/>
      <c r="AH48" s="434"/>
      <c r="AI48" s="434"/>
      <c r="AJ48" s="433"/>
      <c r="AK48" s="433"/>
      <c r="AL48" s="435"/>
      <c r="AM48" s="100"/>
      <c r="AN48" s="101">
        <f t="shared" si="2"/>
        <v>0</v>
      </c>
      <c r="AO48" s="13"/>
      <c r="AP48" s="13"/>
    </row>
    <row r="49" spans="1:42" x14ac:dyDescent="0.25">
      <c r="A49" s="436"/>
      <c r="B49" s="437"/>
      <c r="C49" s="437"/>
      <c r="D49" s="437"/>
      <c r="E49" s="437"/>
      <c r="F49" s="437"/>
      <c r="G49" s="438"/>
      <c r="H49" s="214"/>
      <c r="I49" s="215"/>
      <c r="J49" s="216"/>
      <c r="K49" s="217"/>
      <c r="L49" s="218"/>
      <c r="M49" s="219"/>
      <c r="N49" s="220"/>
      <c r="O49" s="221"/>
      <c r="P49" s="222"/>
      <c r="Q49" s="77"/>
      <c r="R49" s="223"/>
      <c r="S49" s="224"/>
      <c r="T49" s="225"/>
      <c r="U49" s="226"/>
      <c r="V49" s="227"/>
      <c r="W49" s="228"/>
      <c r="X49" s="229"/>
      <c r="Y49" s="230"/>
      <c r="Z49" s="230"/>
      <c r="AA49" s="105"/>
      <c r="AB49" s="432">
        <f>IF(MONTH($X$3+29)&lt;&gt;MONTH(X3),"",($X$3+29))</f>
        <v>45687</v>
      </c>
      <c r="AC49" s="432">
        <f>+$D$6+26</f>
        <v>26</v>
      </c>
      <c r="AD49" s="433"/>
      <c r="AE49" s="433"/>
      <c r="AF49" s="433"/>
      <c r="AG49" s="434"/>
      <c r="AH49" s="434"/>
      <c r="AI49" s="434"/>
      <c r="AJ49" s="433"/>
      <c r="AK49" s="433"/>
      <c r="AL49" s="435"/>
      <c r="AM49" s="100"/>
      <c r="AN49" s="101">
        <f t="shared" si="2"/>
        <v>0</v>
      </c>
      <c r="AO49" s="13"/>
      <c r="AP49" s="13"/>
    </row>
    <row r="50" spans="1:42" x14ac:dyDescent="0.25">
      <c r="A50" s="190" t="str">
        <f>+Taux_cotisations!A25</f>
        <v>Assurance Chômage :</v>
      </c>
      <c r="B50" s="191"/>
      <c r="C50" s="191"/>
      <c r="D50" s="191"/>
      <c r="E50" s="191"/>
      <c r="F50" s="191"/>
      <c r="G50" s="191"/>
      <c r="H50" s="214"/>
      <c r="I50" s="215"/>
      <c r="J50" s="216"/>
      <c r="K50" s="217"/>
      <c r="L50" s="218"/>
      <c r="M50" s="219"/>
      <c r="N50" s="220"/>
      <c r="O50" s="221"/>
      <c r="P50" s="222"/>
      <c r="Q50" s="77"/>
      <c r="R50" s="223">
        <f>+T33*INDEX(table_coef_base_patronale,MATCH(A50,Taux_cotisations!$A$110:$A$137,0),MATCH($X$3,Taux_cotisations!$A$110:$M$110,0))</f>
        <v>0</v>
      </c>
      <c r="S50" s="224"/>
      <c r="T50" s="225"/>
      <c r="U50" s="226">
        <f>INDEX(table_taux_patronales,MATCH(A50,Taux_cotisations!$A$39:$A$65,0),MATCH($X$3,Taux_cotisations!$A$39:$M$39,0))</f>
        <v>4.0500000000000001E-2</v>
      </c>
      <c r="V50" s="227"/>
      <c r="W50" s="228"/>
      <c r="X50" s="229">
        <f>ROUND(U50*R50,2)</f>
        <v>0</v>
      </c>
      <c r="Y50" s="230"/>
      <c r="Z50" s="230"/>
      <c r="AA50" s="105"/>
      <c r="AB50" s="432">
        <f>IF(MONTH($X$3+30)&lt;&gt;MONTH(X3),"",($X$3+30))</f>
        <v>45688</v>
      </c>
      <c r="AC50" s="432">
        <f>+$D$6+26</f>
        <v>26</v>
      </c>
      <c r="AD50" s="433"/>
      <c r="AE50" s="433"/>
      <c r="AF50" s="433"/>
      <c r="AG50" s="434"/>
      <c r="AH50" s="434"/>
      <c r="AI50" s="434"/>
      <c r="AJ50" s="433"/>
      <c r="AK50" s="433"/>
      <c r="AL50" s="435"/>
      <c r="AM50" s="100"/>
      <c r="AN50" s="101">
        <f t="shared" si="2"/>
        <v>0</v>
      </c>
      <c r="AO50" s="13"/>
      <c r="AP50" s="13"/>
    </row>
    <row r="51" spans="1:42" ht="15.75" thickBot="1" x14ac:dyDescent="0.3">
      <c r="H51" s="214"/>
      <c r="I51" s="215"/>
      <c r="J51" s="216"/>
      <c r="K51" s="217"/>
      <c r="L51" s="218"/>
      <c r="M51" s="219"/>
      <c r="N51" s="220"/>
      <c r="O51" s="221"/>
      <c r="P51" s="222"/>
      <c r="R51" s="223"/>
      <c r="S51" s="224"/>
      <c r="T51" s="225"/>
      <c r="U51" s="226"/>
      <c r="V51" s="227"/>
      <c r="W51" s="228"/>
      <c r="X51" s="229"/>
      <c r="Y51" s="230"/>
      <c r="Z51" s="230"/>
      <c r="AA51" s="105"/>
      <c r="AB51" s="428"/>
      <c r="AC51" s="428"/>
      <c r="AD51" s="429">
        <f>SUM(AD20:AF50)</f>
        <v>0</v>
      </c>
      <c r="AE51" s="429"/>
      <c r="AF51" s="429"/>
      <c r="AG51" s="430">
        <f>SUM(AG20:AI50)</f>
        <v>0</v>
      </c>
      <c r="AH51" s="430"/>
      <c r="AI51" s="430"/>
      <c r="AJ51" s="429">
        <f>SUM(AJ20:AL50)</f>
        <v>0</v>
      </c>
      <c r="AK51" s="429"/>
      <c r="AL51" s="431"/>
      <c r="AM51" s="100"/>
      <c r="AN51" s="13"/>
      <c r="AO51" s="13"/>
      <c r="AP51" s="13"/>
    </row>
    <row r="52" spans="1:42" ht="15.75" thickTop="1" x14ac:dyDescent="0.25">
      <c r="A52" s="190"/>
      <c r="B52" s="191"/>
      <c r="C52" s="191"/>
      <c r="D52" s="191"/>
      <c r="E52" s="191"/>
      <c r="F52" s="191"/>
      <c r="G52" s="191"/>
      <c r="H52" s="214"/>
      <c r="I52" s="215"/>
      <c r="J52" s="216"/>
      <c r="K52" s="217"/>
      <c r="L52" s="218"/>
      <c r="M52" s="219"/>
      <c r="N52" s="220"/>
      <c r="O52" s="221"/>
      <c r="P52" s="222"/>
      <c r="Q52" s="77"/>
      <c r="R52" s="223"/>
      <c r="S52" s="224"/>
      <c r="T52" s="225"/>
      <c r="U52" s="226"/>
      <c r="V52" s="227"/>
      <c r="W52" s="228"/>
      <c r="X52" s="229"/>
      <c r="Y52" s="230"/>
      <c r="Z52" s="230"/>
      <c r="AA52" s="105"/>
      <c r="AB52" s="99"/>
      <c r="AC52" s="99"/>
      <c r="AD52" s="100"/>
      <c r="AE52" s="100"/>
      <c r="AF52" s="100"/>
      <c r="AG52" s="100"/>
      <c r="AH52" s="100"/>
      <c r="AI52" s="100"/>
      <c r="AJ52" s="100"/>
      <c r="AK52" s="100"/>
      <c r="AL52" s="100"/>
      <c r="AM52" s="100"/>
      <c r="AN52" s="100"/>
      <c r="AO52" s="100"/>
    </row>
    <row r="53" spans="1:42" x14ac:dyDescent="0.25">
      <c r="H53" s="214"/>
      <c r="I53" s="215"/>
      <c r="J53" s="216"/>
      <c r="K53" s="217"/>
      <c r="L53" s="218"/>
      <c r="M53" s="219"/>
      <c r="N53" s="220"/>
      <c r="O53" s="221"/>
      <c r="P53" s="222"/>
      <c r="R53" s="223"/>
      <c r="S53" s="224"/>
      <c r="T53" s="225"/>
      <c r="U53" s="226"/>
      <c r="V53" s="227"/>
      <c r="W53" s="228"/>
      <c r="X53" s="229"/>
      <c r="Y53" s="230"/>
      <c r="Z53" s="230"/>
      <c r="AA53" s="105"/>
      <c r="AB53" s="99"/>
      <c r="AC53" s="99"/>
      <c r="AD53" s="100"/>
      <c r="AE53" s="100"/>
      <c r="AF53" s="100"/>
      <c r="AG53" s="100"/>
      <c r="AH53" s="100"/>
      <c r="AI53" s="100"/>
      <c r="AJ53" s="100"/>
      <c r="AK53" s="100"/>
      <c r="AL53" s="100"/>
      <c r="AM53" s="100"/>
      <c r="AN53" s="100"/>
      <c r="AO53" s="100"/>
      <c r="AP53" s="106"/>
    </row>
    <row r="54" spans="1:42" x14ac:dyDescent="0.25">
      <c r="A54" s="190" t="str">
        <f>+Taux_cotisations!A27</f>
        <v>Autres cotisations patronales</v>
      </c>
      <c r="B54" s="191"/>
      <c r="C54" s="191"/>
      <c r="D54" s="191"/>
      <c r="E54" s="191"/>
      <c r="F54" s="191"/>
      <c r="G54" s="191"/>
      <c r="H54" s="214"/>
      <c r="I54" s="215"/>
      <c r="J54" s="216"/>
      <c r="K54" s="217"/>
      <c r="L54" s="218"/>
      <c r="M54" s="219"/>
      <c r="N54" s="220"/>
      <c r="O54" s="221"/>
      <c r="P54" s="222"/>
      <c r="Q54" s="77"/>
      <c r="R54" s="223">
        <f>+T33*INDEX(table_coef_base_patronale,MATCH(A54,Taux_cotisations!$A$110:$A$137,0),MATCH($X$3,Taux_cotisations!$A$110:$M$110,0))</f>
        <v>0</v>
      </c>
      <c r="S54" s="224"/>
      <c r="T54" s="225"/>
      <c r="U54" s="226">
        <f>INDEX(table_taux_patronales,MATCH(A54,Taux_cotisations!$A$39:$A$65,0),MATCH($X$3,Taux_cotisations!$A$39:$M$39,0))</f>
        <v>6.6600000000000001E-3</v>
      </c>
      <c r="V54" s="227"/>
      <c r="W54" s="228"/>
      <c r="X54" s="229">
        <f>ROUND(U54*R54,2)</f>
        <v>0</v>
      </c>
      <c r="Y54" s="230"/>
      <c r="Z54" s="230"/>
      <c r="AA54" s="105"/>
      <c r="AB54" s="99"/>
      <c r="AC54" s="99"/>
      <c r="AD54" s="100"/>
      <c r="AE54" s="100"/>
      <c r="AF54" s="100"/>
      <c r="AG54" s="100"/>
      <c r="AH54" s="100"/>
      <c r="AI54" s="100"/>
      <c r="AJ54" s="100"/>
      <c r="AK54" s="100"/>
      <c r="AL54" s="100"/>
      <c r="AM54" s="100"/>
      <c r="AN54" s="100"/>
      <c r="AO54" s="100"/>
      <c r="AP54" s="106"/>
    </row>
    <row r="55" spans="1:42" x14ac:dyDescent="0.25">
      <c r="H55" s="214"/>
      <c r="I55" s="215"/>
      <c r="J55" s="216"/>
      <c r="K55" s="217"/>
      <c r="L55" s="218"/>
      <c r="M55" s="219"/>
      <c r="N55" s="220"/>
      <c r="O55" s="221"/>
      <c r="P55" s="222"/>
      <c r="R55" s="223"/>
      <c r="S55" s="224"/>
      <c r="T55" s="225"/>
      <c r="U55" s="226"/>
      <c r="V55" s="227"/>
      <c r="W55" s="228"/>
      <c r="X55" s="229"/>
      <c r="Y55" s="230"/>
      <c r="Z55" s="230"/>
      <c r="AA55" s="105"/>
      <c r="AB55" s="99"/>
      <c r="AC55" s="99"/>
      <c r="AD55" s="100"/>
      <c r="AE55" s="100"/>
      <c r="AF55" s="100"/>
      <c r="AG55" s="100"/>
      <c r="AH55" s="100"/>
      <c r="AI55" s="100"/>
      <c r="AJ55" s="100"/>
      <c r="AK55" s="100"/>
      <c r="AL55" s="100"/>
      <c r="AM55" s="100"/>
      <c r="AN55" s="100"/>
      <c r="AO55" s="100"/>
      <c r="AP55" s="106"/>
    </row>
    <row r="56" spans="1:42" x14ac:dyDescent="0.25">
      <c r="A56" s="190"/>
      <c r="B56" s="191"/>
      <c r="C56" s="191"/>
      <c r="D56" s="191"/>
      <c r="E56" s="191"/>
      <c r="F56" s="191"/>
      <c r="G56" s="191"/>
      <c r="H56" s="214"/>
      <c r="I56" s="215"/>
      <c r="J56" s="216"/>
      <c r="K56" s="217"/>
      <c r="L56" s="218"/>
      <c r="M56" s="219"/>
      <c r="N56" s="220"/>
      <c r="O56" s="221"/>
      <c r="P56" s="222"/>
      <c r="Q56" s="77"/>
      <c r="R56" s="223"/>
      <c r="S56" s="224"/>
      <c r="T56" s="225"/>
      <c r="U56" s="226"/>
      <c r="V56" s="227"/>
      <c r="W56" s="228"/>
      <c r="X56" s="229"/>
      <c r="Y56" s="230"/>
      <c r="Z56" s="230"/>
      <c r="AA56" s="105"/>
      <c r="AB56" s="99"/>
      <c r="AC56" s="99"/>
      <c r="AD56" s="100"/>
      <c r="AE56" s="100"/>
      <c r="AF56" s="100"/>
      <c r="AG56" s="100"/>
      <c r="AH56" s="100"/>
      <c r="AI56" s="100"/>
      <c r="AJ56" s="100"/>
      <c r="AK56" s="100"/>
      <c r="AL56" s="100"/>
      <c r="AM56" s="100"/>
      <c r="AN56" s="100"/>
      <c r="AO56" s="100"/>
      <c r="AP56" s="106"/>
    </row>
    <row r="57" spans="1:42" x14ac:dyDescent="0.25">
      <c r="A57" s="278"/>
      <c r="B57" s="279"/>
      <c r="C57" s="279"/>
      <c r="D57" s="279"/>
      <c r="E57" s="279"/>
      <c r="F57" s="279"/>
      <c r="G57" s="279"/>
      <c r="H57" s="280"/>
      <c r="I57" s="281"/>
      <c r="J57" s="282"/>
      <c r="K57" s="283"/>
      <c r="L57" s="284"/>
      <c r="M57" s="285"/>
      <c r="N57" s="280"/>
      <c r="O57" s="281"/>
      <c r="P57" s="282"/>
      <c r="Q57" s="77"/>
      <c r="R57" s="286"/>
      <c r="S57" s="287"/>
      <c r="T57" s="288"/>
      <c r="U57" s="289"/>
      <c r="V57" s="290"/>
      <c r="W57" s="291"/>
      <c r="X57" s="229"/>
      <c r="Y57" s="230"/>
      <c r="Z57" s="230"/>
      <c r="AA57" s="105"/>
      <c r="AB57" s="99"/>
      <c r="AC57" s="99"/>
      <c r="AD57" s="100"/>
      <c r="AE57" s="100"/>
      <c r="AF57" s="100"/>
      <c r="AG57" s="100"/>
      <c r="AH57" s="100"/>
      <c r="AI57" s="100"/>
      <c r="AJ57" s="100"/>
      <c r="AK57" s="100"/>
      <c r="AL57" s="100"/>
      <c r="AM57" s="100"/>
      <c r="AN57" s="100"/>
      <c r="AO57" s="100"/>
      <c r="AP57" s="106"/>
    </row>
    <row r="58" spans="1:42" x14ac:dyDescent="0.25">
      <c r="A58" s="79"/>
      <c r="B58" s="79"/>
      <c r="C58" s="79"/>
      <c r="D58" s="79"/>
      <c r="E58" s="79"/>
      <c r="F58" s="79"/>
      <c r="G58" s="79"/>
      <c r="H58" s="416" t="s">
        <v>54</v>
      </c>
      <c r="I58" s="417"/>
      <c r="J58" s="417"/>
      <c r="K58" s="417"/>
      <c r="L58" s="417"/>
      <c r="M58" s="417"/>
      <c r="N58" s="418">
        <f>SUM(N37:P57)</f>
        <v>0</v>
      </c>
      <c r="O58" s="418"/>
      <c r="P58" s="419"/>
      <c r="Q58" s="80"/>
      <c r="R58" s="416" t="s">
        <v>55</v>
      </c>
      <c r="S58" s="420"/>
      <c r="T58" s="420"/>
      <c r="U58" s="420"/>
      <c r="V58" s="420"/>
      <c r="W58" s="421"/>
      <c r="X58" s="422">
        <f>SUM(X37:Z56)</f>
        <v>0</v>
      </c>
      <c r="Y58" s="423"/>
      <c r="Z58" s="424"/>
      <c r="AA58" s="105"/>
      <c r="AB58" s="99"/>
      <c r="AC58" s="99"/>
      <c r="AD58" s="100"/>
      <c r="AE58" s="100"/>
      <c r="AF58" s="100"/>
      <c r="AG58" s="100"/>
      <c r="AH58" s="100"/>
      <c r="AI58" s="100"/>
      <c r="AJ58" s="100"/>
      <c r="AK58" s="100"/>
      <c r="AL58" s="100"/>
      <c r="AM58" s="100"/>
      <c r="AN58" s="100"/>
      <c r="AO58" s="100"/>
      <c r="AP58" s="106"/>
    </row>
    <row r="59" spans="1:42" x14ac:dyDescent="0.25">
      <c r="A59" s="79"/>
      <c r="B59" s="79"/>
      <c r="C59" s="79"/>
      <c r="D59" s="79"/>
      <c r="E59" s="79"/>
      <c r="F59" s="79"/>
      <c r="G59" s="79"/>
      <c r="H59" s="425" t="s">
        <v>56</v>
      </c>
      <c r="I59" s="425"/>
      <c r="J59" s="425"/>
      <c r="K59" s="425"/>
      <c r="L59" s="425"/>
      <c r="M59" s="425"/>
      <c r="N59" s="426">
        <f>T33-N58</f>
        <v>0</v>
      </c>
      <c r="O59" s="426"/>
      <c r="P59" s="426"/>
      <c r="Q59" s="80"/>
      <c r="R59" s="80"/>
      <c r="S59" s="80"/>
      <c r="T59" s="80"/>
      <c r="U59" s="80"/>
      <c r="V59" s="80"/>
      <c r="W59" s="80"/>
      <c r="X59" s="80"/>
      <c r="Y59" s="80"/>
      <c r="Z59" s="80"/>
      <c r="AA59" s="105"/>
      <c r="AB59" s="99"/>
      <c r="AC59" s="99"/>
      <c r="AD59" s="100"/>
      <c r="AE59" s="100"/>
      <c r="AF59" s="100"/>
      <c r="AG59" s="100"/>
      <c r="AH59" s="100"/>
      <c r="AI59" s="100"/>
      <c r="AJ59" s="100"/>
      <c r="AK59" s="100"/>
      <c r="AL59" s="100"/>
      <c r="AM59" s="106"/>
      <c r="AP59" s="106"/>
    </row>
    <row r="60" spans="1:42" x14ac:dyDescent="0.25">
      <c r="R60" s="296" t="s">
        <v>57</v>
      </c>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298"/>
      <c r="AP60" s="106"/>
    </row>
    <row r="61" spans="1:42" x14ac:dyDescent="0.25">
      <c r="A61" s="299" t="s">
        <v>58</v>
      </c>
      <c r="B61" s="299"/>
      <c r="C61" s="299"/>
      <c r="D61" s="299"/>
      <c r="E61" s="299"/>
      <c r="F61" s="299"/>
      <c r="G61" s="299"/>
      <c r="H61" s="299" t="s">
        <v>22</v>
      </c>
      <c r="I61" s="299"/>
      <c r="J61" s="299"/>
      <c r="K61" s="299" t="s">
        <v>23</v>
      </c>
      <c r="L61" s="299"/>
      <c r="M61" s="299"/>
      <c r="N61" s="299" t="s">
        <v>24</v>
      </c>
      <c r="O61" s="299"/>
      <c r="P61" s="299"/>
      <c r="Q61" s="76"/>
      <c r="R61" s="321" t="s">
        <v>59</v>
      </c>
      <c r="S61" s="304"/>
      <c r="T61" s="304"/>
      <c r="U61" s="304"/>
      <c r="V61" s="304"/>
      <c r="W61" s="304"/>
      <c r="X61" s="304" t="s">
        <v>60</v>
      </c>
      <c r="Y61" s="304"/>
      <c r="Z61" s="304"/>
      <c r="AA61" s="107"/>
      <c r="AB61" s="108"/>
      <c r="AC61" s="304" t="s">
        <v>61</v>
      </c>
      <c r="AD61" s="304"/>
      <c r="AE61" s="304"/>
      <c r="AF61" s="304"/>
      <c r="AG61" s="304"/>
      <c r="AH61" s="304"/>
      <c r="AI61" s="304"/>
      <c r="AJ61" s="304"/>
      <c r="AK61" s="304"/>
      <c r="AL61" s="304"/>
      <c r="AM61" s="304"/>
      <c r="AN61" s="304"/>
      <c r="AO61" s="305"/>
      <c r="AP61" s="106"/>
    </row>
    <row r="62" spans="1:42" x14ac:dyDescent="0.25">
      <c r="A62" s="549" t="s">
        <v>120</v>
      </c>
      <c r="B62" s="85" t="s">
        <v>62</v>
      </c>
      <c r="C62" s="86"/>
      <c r="D62" s="86"/>
      <c r="E62" s="86"/>
      <c r="F62" s="86"/>
      <c r="G62" s="109"/>
      <c r="H62" s="322"/>
      <c r="I62" s="323"/>
      <c r="J62" s="324"/>
      <c r="K62" s="325"/>
      <c r="L62" s="326"/>
      <c r="M62" s="327"/>
      <c r="N62" s="328">
        <f>K62*H62</f>
        <v>0</v>
      </c>
      <c r="O62" s="328"/>
      <c r="P62" s="328"/>
      <c r="Q62" s="105"/>
      <c r="R62" s="302" t="s">
        <v>63</v>
      </c>
      <c r="S62" s="303"/>
      <c r="T62" s="303"/>
      <c r="U62" s="303"/>
      <c r="V62" s="303"/>
      <c r="W62" s="303"/>
      <c r="X62" s="303"/>
      <c r="Y62" s="303"/>
      <c r="Z62" s="303"/>
      <c r="AA62" s="107"/>
      <c r="AB62" s="108"/>
      <c r="AC62" s="303" t="s">
        <v>64</v>
      </c>
      <c r="AD62" s="303"/>
      <c r="AE62" s="303"/>
      <c r="AF62" s="303"/>
      <c r="AG62" s="303"/>
      <c r="AH62" s="303"/>
      <c r="AI62" s="303"/>
      <c r="AJ62" s="303"/>
      <c r="AK62" s="303"/>
      <c r="AL62" s="303"/>
      <c r="AM62" s="303"/>
      <c r="AN62" s="303"/>
      <c r="AO62" s="427"/>
      <c r="AP62" s="106"/>
    </row>
    <row r="63" spans="1:42" x14ac:dyDescent="0.25">
      <c r="A63" s="550"/>
      <c r="B63" s="110" t="s">
        <v>102</v>
      </c>
      <c r="G63" s="111"/>
      <c r="H63" s="329"/>
      <c r="I63" s="330"/>
      <c r="J63" s="331"/>
      <c r="K63" s="332"/>
      <c r="L63" s="333"/>
      <c r="M63" s="334"/>
      <c r="N63" s="221">
        <f>K63*H63</f>
        <v>0</v>
      </c>
      <c r="O63" s="221"/>
      <c r="P63" s="221"/>
      <c r="Q63" s="105"/>
      <c r="R63" s="302" t="s">
        <v>65</v>
      </c>
      <c r="S63" s="303"/>
      <c r="T63" s="303"/>
      <c r="U63" s="303"/>
      <c r="V63" s="303"/>
      <c r="W63" s="303"/>
      <c r="X63" s="303"/>
      <c r="Y63" s="303"/>
      <c r="Z63" s="303"/>
      <c r="AA63" s="107"/>
      <c r="AB63" s="108"/>
      <c r="AC63" s="304" t="s">
        <v>66</v>
      </c>
      <c r="AD63" s="304"/>
      <c r="AE63" s="304"/>
      <c r="AF63" s="304"/>
      <c r="AG63" s="304"/>
      <c r="AH63" s="304"/>
      <c r="AI63" s="304"/>
      <c r="AJ63" s="304"/>
      <c r="AK63" s="304"/>
      <c r="AL63" s="304"/>
      <c r="AM63" s="304"/>
      <c r="AN63" s="304"/>
      <c r="AO63" s="305"/>
    </row>
    <row r="64" spans="1:42" x14ac:dyDescent="0.25">
      <c r="A64" s="550"/>
      <c r="B64" s="110" t="s">
        <v>67</v>
      </c>
      <c r="G64" s="111"/>
      <c r="H64" s="306"/>
      <c r="I64" s="307"/>
      <c r="J64" s="308"/>
      <c r="K64" s="332"/>
      <c r="L64" s="333"/>
      <c r="M64" s="334"/>
      <c r="N64" s="221">
        <f>K64*H64</f>
        <v>0</v>
      </c>
      <c r="O64" s="221"/>
      <c r="P64" s="221"/>
      <c r="Q64" s="112"/>
      <c r="R64" s="414" t="s">
        <v>68</v>
      </c>
      <c r="S64" s="415"/>
      <c r="T64" s="415"/>
      <c r="U64" s="415"/>
      <c r="V64" s="415"/>
      <c r="W64" s="415"/>
      <c r="X64" s="415"/>
      <c r="Y64" s="415"/>
      <c r="Z64" s="415"/>
      <c r="AA64" s="113"/>
      <c r="AB64" s="114"/>
      <c r="AC64" s="412" t="s">
        <v>69</v>
      </c>
      <c r="AD64" s="412"/>
      <c r="AE64" s="412"/>
      <c r="AF64" s="412"/>
      <c r="AG64" s="412"/>
      <c r="AH64" s="412"/>
      <c r="AI64" s="412"/>
      <c r="AJ64" s="412"/>
      <c r="AK64" s="412"/>
      <c r="AL64" s="412"/>
      <c r="AM64" s="412"/>
      <c r="AN64" s="412"/>
      <c r="AO64" s="413"/>
      <c r="AP64" s="115"/>
    </row>
    <row r="65" spans="1:42" x14ac:dyDescent="0.25">
      <c r="A65" s="550"/>
      <c r="B65" s="110" t="s">
        <v>70</v>
      </c>
      <c r="G65" s="111"/>
      <c r="H65" s="306"/>
      <c r="I65" s="307"/>
      <c r="J65" s="308"/>
      <c r="K65" s="332"/>
      <c r="L65" s="333"/>
      <c r="M65" s="334"/>
      <c r="N65" s="221">
        <f>K65*H65</f>
        <v>0</v>
      </c>
      <c r="O65" s="221"/>
      <c r="P65" s="221"/>
      <c r="R65" s="116"/>
      <c r="S65" s="117"/>
      <c r="T65" s="117"/>
      <c r="U65" s="117"/>
      <c r="V65" s="117"/>
      <c r="W65" s="117"/>
      <c r="X65" s="118"/>
      <c r="Y65" s="118"/>
      <c r="Z65" s="118"/>
      <c r="AA65" s="118"/>
      <c r="AB65" s="118"/>
      <c r="AC65" s="118"/>
      <c r="AD65" s="118"/>
      <c r="AE65" s="118"/>
      <c r="AF65" s="118"/>
      <c r="AG65" s="118"/>
      <c r="AH65" s="118"/>
      <c r="AI65" s="118"/>
      <c r="AJ65" s="118"/>
      <c r="AK65" s="118"/>
      <c r="AL65" s="118"/>
      <c r="AM65" s="118"/>
      <c r="AN65" s="118"/>
      <c r="AO65" s="118"/>
      <c r="AP65" s="115"/>
    </row>
    <row r="66" spans="1:42" x14ac:dyDescent="0.25">
      <c r="A66" s="550"/>
      <c r="B66" s="110" t="s">
        <v>71</v>
      </c>
      <c r="G66" s="111"/>
      <c r="H66" s="314"/>
      <c r="I66" s="314"/>
      <c r="J66" s="314"/>
      <c r="K66" s="315"/>
      <c r="L66" s="315"/>
      <c r="M66" s="315"/>
      <c r="N66" s="221">
        <f>K66*H66</f>
        <v>0</v>
      </c>
      <c r="O66" s="221"/>
      <c r="P66" s="221"/>
      <c r="Q66" s="91"/>
      <c r="R66" s="200" t="s">
        <v>72</v>
      </c>
      <c r="S66" s="201"/>
      <c r="T66" s="201"/>
      <c r="U66" s="201"/>
      <c r="V66" s="201"/>
      <c r="W66" s="201"/>
      <c r="X66" s="201"/>
      <c r="Y66" s="201"/>
      <c r="Z66" s="201"/>
      <c r="AA66" s="202"/>
      <c r="AB66" s="202"/>
      <c r="AC66" s="79"/>
      <c r="AD66" s="316" t="s">
        <v>73</v>
      </c>
      <c r="AE66" s="317"/>
      <c r="AF66" s="317"/>
      <c r="AG66" s="317"/>
      <c r="AH66" s="317"/>
      <c r="AI66" s="317"/>
      <c r="AJ66" s="317"/>
      <c r="AK66" s="318"/>
      <c r="AL66" s="301">
        <f>COUNTIF(AN20:AN50,"&gt;0")</f>
        <v>0</v>
      </c>
      <c r="AM66" s="301"/>
      <c r="AN66" s="301"/>
      <c r="AO66" s="301"/>
      <c r="AP66" s="119"/>
    </row>
    <row r="67" spans="1:42" x14ac:dyDescent="0.25">
      <c r="A67" s="551"/>
      <c r="B67" s="15" t="s">
        <v>119</v>
      </c>
      <c r="C67" s="554"/>
      <c r="D67" s="554"/>
      <c r="E67" s="554"/>
      <c r="F67" s="554"/>
      <c r="G67" s="555"/>
      <c r="H67" s="221"/>
      <c r="I67" s="221"/>
      <c r="J67" s="221"/>
      <c r="K67" s="319"/>
      <c r="L67" s="319"/>
      <c r="M67" s="319"/>
      <c r="N67" s="295"/>
      <c r="O67" s="295"/>
      <c r="P67" s="295"/>
      <c r="R67" s="203" t="s">
        <v>74</v>
      </c>
      <c r="S67" s="204"/>
      <c r="T67" s="204"/>
      <c r="U67" s="201"/>
      <c r="V67" s="201"/>
      <c r="W67" s="201"/>
      <c r="X67" s="201"/>
      <c r="Y67" s="201"/>
      <c r="Z67" s="320"/>
      <c r="AA67" s="320"/>
      <c r="AB67" s="320"/>
      <c r="AC67" s="79"/>
      <c r="AD67" s="316" t="s">
        <v>75</v>
      </c>
      <c r="AE67" s="317"/>
      <c r="AF67" s="317"/>
      <c r="AG67" s="317"/>
      <c r="AH67" s="317"/>
      <c r="AI67" s="317"/>
      <c r="AJ67" s="317"/>
      <c r="AK67" s="318"/>
      <c r="AL67" s="301">
        <f>COUNTIF(AN20:AN50,"=8")+COUNTIF(AN20:AN50,"&gt;8")</f>
        <v>0</v>
      </c>
      <c r="AM67" s="301"/>
      <c r="AN67" s="301"/>
      <c r="AO67" s="301"/>
    </row>
    <row r="68" spans="1:42" x14ac:dyDescent="0.25">
      <c r="A68" s="14" t="s">
        <v>121</v>
      </c>
      <c r="B68" s="552" t="s">
        <v>122</v>
      </c>
      <c r="C68" s="552"/>
      <c r="D68" s="552"/>
      <c r="E68" s="552"/>
      <c r="F68" s="552"/>
      <c r="G68" s="553"/>
      <c r="H68" s="391"/>
      <c r="I68" s="391"/>
      <c r="J68" s="391"/>
      <c r="K68" s="392"/>
      <c r="L68" s="392"/>
      <c r="M68" s="392"/>
      <c r="N68" s="393">
        <f>H68</f>
        <v>0</v>
      </c>
      <c r="O68" s="393"/>
      <c r="P68" s="393"/>
      <c r="R68" s="201" t="s">
        <v>76</v>
      </c>
      <c r="S68" s="201"/>
      <c r="T68" s="201"/>
      <c r="U68" s="201"/>
      <c r="V68" s="201"/>
      <c r="W68" s="201"/>
      <c r="X68" s="201"/>
      <c r="Y68" s="201"/>
      <c r="Z68" s="320">
        <f>+N57*-1</f>
        <v>0</v>
      </c>
      <c r="AA68" s="320"/>
      <c r="AB68" s="320"/>
      <c r="AC68" s="79"/>
      <c r="AD68" s="316" t="s">
        <v>77</v>
      </c>
      <c r="AE68" s="317"/>
      <c r="AF68" s="317"/>
      <c r="AG68" s="317"/>
      <c r="AH68" s="317"/>
      <c r="AI68" s="317"/>
      <c r="AJ68" s="317"/>
      <c r="AK68" s="318"/>
      <c r="AL68" s="394">
        <f>SUMIF(AN20:AN50,"&lt;8")</f>
        <v>0</v>
      </c>
      <c r="AM68" s="394"/>
      <c r="AN68" s="394"/>
      <c r="AO68" s="394"/>
    </row>
    <row r="69" spans="1:42" x14ac:dyDescent="0.25">
      <c r="N69" s="292">
        <f>SUM(N62:P68)</f>
        <v>0</v>
      </c>
      <c r="O69" s="293"/>
      <c r="P69" s="294"/>
      <c r="R69" s="107"/>
      <c r="S69" s="107"/>
      <c r="T69" s="107"/>
      <c r="U69" s="107"/>
      <c r="V69" s="107"/>
      <c r="W69" s="107"/>
      <c r="X69" s="107"/>
      <c r="Y69" s="107"/>
      <c r="Z69" s="107"/>
      <c r="AA69" s="79"/>
      <c r="AB69" s="79"/>
      <c r="AC69" s="79"/>
      <c r="AD69" s="79"/>
      <c r="AE69" s="79"/>
      <c r="AF69" s="79"/>
      <c r="AG69" s="79"/>
      <c r="AH69" s="79"/>
      <c r="AI69" s="79"/>
      <c r="AJ69" s="79"/>
      <c r="AK69" s="79"/>
      <c r="AL69" s="79"/>
      <c r="AM69" s="79"/>
      <c r="AN69" s="79"/>
      <c r="AO69" s="79"/>
      <c r="AP69" s="119"/>
    </row>
    <row r="70" spans="1:42" ht="9" customHeight="1" x14ac:dyDescent="0.25">
      <c r="N70" s="112"/>
      <c r="O70" s="112"/>
      <c r="P70" s="112"/>
      <c r="R70" s="107"/>
      <c r="S70" s="107"/>
      <c r="T70" s="107"/>
      <c r="U70" s="107"/>
      <c r="V70" s="107"/>
      <c r="W70" s="107"/>
      <c r="X70" s="107"/>
      <c r="Y70" s="107"/>
      <c r="Z70" s="107"/>
      <c r="AA70" s="79"/>
      <c r="AB70" s="79"/>
      <c r="AC70" s="79"/>
      <c r="AD70" s="79"/>
      <c r="AE70" s="79"/>
      <c r="AF70" s="79"/>
      <c r="AG70" s="79"/>
      <c r="AH70" s="79"/>
      <c r="AI70" s="79"/>
      <c r="AJ70" s="79"/>
      <c r="AK70" s="79"/>
      <c r="AL70" s="79"/>
      <c r="AM70" s="79"/>
      <c r="AN70" s="79"/>
      <c r="AO70" s="79"/>
      <c r="AP70" s="119"/>
    </row>
    <row r="71" spans="1:42" x14ac:dyDescent="0.25">
      <c r="E71" s="556" t="s">
        <v>126</v>
      </c>
      <c r="F71" s="556"/>
      <c r="G71" s="556"/>
      <c r="H71" s="556" t="s">
        <v>127</v>
      </c>
      <c r="I71" s="556"/>
      <c r="J71" s="556"/>
      <c r="K71" s="556"/>
      <c r="L71" s="309" t="s">
        <v>219</v>
      </c>
      <c r="M71" s="309"/>
      <c r="N71" s="309"/>
      <c r="O71" s="309"/>
      <c r="P71" s="309"/>
      <c r="Q71" s="310">
        <f>+N59+N68</f>
        <v>0</v>
      </c>
      <c r="R71" s="311"/>
      <c r="S71" s="311"/>
      <c r="T71" s="312"/>
      <c r="U71" s="107"/>
      <c r="V71" s="107"/>
      <c r="W71" s="107"/>
      <c r="X71" s="107"/>
      <c r="Y71" s="107"/>
      <c r="Z71" s="313"/>
      <c r="AA71" s="313"/>
      <c r="AB71" s="313"/>
      <c r="AC71" s="313"/>
      <c r="AD71" s="313"/>
      <c r="AE71" s="313"/>
      <c r="AF71" s="313"/>
      <c r="AG71" s="313"/>
      <c r="AH71" s="313"/>
      <c r="AI71" s="313"/>
      <c r="AJ71" s="313"/>
      <c r="AK71" s="313"/>
      <c r="AL71" s="300"/>
      <c r="AM71" s="300"/>
      <c r="AN71" s="300"/>
      <c r="AO71" s="300"/>
    </row>
    <row r="72" spans="1:42" x14ac:dyDescent="0.25">
      <c r="A72" s="609" t="s">
        <v>78</v>
      </c>
      <c r="B72" s="610"/>
      <c r="C72" s="610"/>
      <c r="D72" s="611"/>
      <c r="E72" s="612">
        <f>+ROUND((T19+T24+T26+T27+T28+T29+T30+T31)-(N58),2)</f>
        <v>0</v>
      </c>
      <c r="F72" s="613"/>
      <c r="G72" s="614"/>
      <c r="H72" s="615"/>
      <c r="I72" s="616"/>
      <c r="J72" s="616"/>
      <c r="K72" s="617"/>
      <c r="U72" s="107"/>
      <c r="V72" s="107"/>
      <c r="W72" s="107"/>
      <c r="X72" s="107"/>
      <c r="Y72" s="107"/>
      <c r="Z72" s="313"/>
      <c r="AA72" s="313"/>
      <c r="AB72" s="313"/>
      <c r="AC72" s="313"/>
      <c r="AD72" s="313"/>
      <c r="AE72" s="313"/>
      <c r="AF72" s="313"/>
      <c r="AG72" s="313"/>
      <c r="AH72" s="313"/>
      <c r="AI72" s="313"/>
      <c r="AJ72" s="313"/>
      <c r="AK72" s="313"/>
      <c r="AL72" s="300"/>
      <c r="AM72" s="300"/>
      <c r="AN72" s="300"/>
      <c r="AO72" s="300"/>
      <c r="AP72" s="103"/>
    </row>
    <row r="73" spans="1:42" x14ac:dyDescent="0.25">
      <c r="A73" s="618" t="s">
        <v>83</v>
      </c>
      <c r="B73" s="242"/>
      <c r="C73" s="242"/>
      <c r="D73" s="619"/>
      <c r="E73" s="620">
        <f>SUM(N62:P67)</f>
        <v>0</v>
      </c>
      <c r="F73" s="621"/>
      <c r="G73" s="622"/>
      <c r="H73" s="623"/>
      <c r="I73" s="624"/>
      <c r="J73" s="624"/>
      <c r="K73" s="625"/>
      <c r="L73" s="272" t="s">
        <v>79</v>
      </c>
      <c r="M73" s="273"/>
      <c r="N73" s="273"/>
      <c r="O73" s="273"/>
      <c r="P73" s="274"/>
      <c r="Q73" s="245">
        <f>T33-N58+N69</f>
        <v>0</v>
      </c>
      <c r="R73" s="246"/>
      <c r="S73" s="246"/>
      <c r="T73" s="247"/>
      <c r="U73" s="107"/>
      <c r="V73" s="107"/>
      <c r="W73" s="107"/>
      <c r="X73" s="107"/>
      <c r="Y73" s="107"/>
      <c r="Z73" s="79"/>
      <c r="AA73" s="79"/>
      <c r="AB73" s="79"/>
      <c r="AC73" s="79"/>
      <c r="AD73" s="79"/>
      <c r="AE73" s="79"/>
      <c r="AF73" s="79"/>
      <c r="AG73" s="79"/>
      <c r="AH73" s="79"/>
      <c r="AI73" s="79"/>
      <c r="AJ73" s="79"/>
      <c r="AK73" s="79"/>
      <c r="AM73" s="79"/>
      <c r="AN73" s="79"/>
      <c r="AO73" s="79"/>
      <c r="AP73" s="103"/>
    </row>
    <row r="74" spans="1:42" x14ac:dyDescent="0.25">
      <c r="A74" s="618" t="s">
        <v>125</v>
      </c>
      <c r="B74" s="242"/>
      <c r="C74" s="242"/>
      <c r="D74" s="619"/>
      <c r="E74" s="620">
        <f>+Q75</f>
        <v>0</v>
      </c>
      <c r="F74" s="621"/>
      <c r="G74" s="622"/>
      <c r="H74" s="623"/>
      <c r="I74" s="624"/>
      <c r="J74" s="624"/>
      <c r="K74" s="625"/>
      <c r="U74" s="107"/>
      <c r="V74" s="107"/>
      <c r="W74" s="107"/>
      <c r="X74" s="107"/>
      <c r="Y74" s="107"/>
      <c r="Z74" s="316" t="s">
        <v>82</v>
      </c>
      <c r="AA74" s="317"/>
      <c r="AB74" s="317"/>
      <c r="AC74" s="317"/>
      <c r="AD74" s="317"/>
      <c r="AE74" s="317"/>
      <c r="AF74" s="317"/>
      <c r="AG74" s="317"/>
      <c r="AH74" s="317"/>
      <c r="AI74" s="317"/>
      <c r="AJ74" s="317"/>
      <c r="AK74" s="318"/>
      <c r="AL74" s="370">
        <f>ROUND(N59+N62+N63+N64+N65+N66,2)</f>
        <v>0</v>
      </c>
      <c r="AM74" s="370"/>
      <c r="AN74" s="370"/>
      <c r="AO74" s="370"/>
    </row>
    <row r="75" spans="1:42" x14ac:dyDescent="0.25">
      <c r="A75" s="596" t="s">
        <v>80</v>
      </c>
      <c r="B75" s="597"/>
      <c r="C75" s="597"/>
      <c r="D75" s="598"/>
      <c r="E75" s="599">
        <f>ROUND(+T20+T21+T22+T23+T25,2)</f>
        <v>0</v>
      </c>
      <c r="F75" s="600"/>
      <c r="G75" s="601"/>
      <c r="H75" s="602"/>
      <c r="I75" s="603"/>
      <c r="J75" s="603"/>
      <c r="K75" s="604"/>
      <c r="L75" s="275" t="s">
        <v>81</v>
      </c>
      <c r="M75" s="276"/>
      <c r="N75" s="276"/>
      <c r="O75" s="276"/>
      <c r="P75" s="277"/>
      <c r="Q75" s="245">
        <f>+AL74*AL75*-1</f>
        <v>0</v>
      </c>
      <c r="R75" s="246"/>
      <c r="S75" s="246"/>
      <c r="T75" s="247"/>
      <c r="U75" s="107"/>
      <c r="V75" s="107"/>
      <c r="W75" s="107"/>
      <c r="X75" s="107"/>
      <c r="Y75" s="107"/>
      <c r="Z75" s="316" t="s">
        <v>84</v>
      </c>
      <c r="AA75" s="317"/>
      <c r="AB75" s="317"/>
      <c r="AC75" s="317"/>
      <c r="AD75" s="317"/>
      <c r="AE75" s="317"/>
      <c r="AF75" s="317"/>
      <c r="AG75" s="317"/>
      <c r="AH75" s="317"/>
      <c r="AI75" s="317"/>
      <c r="AJ75" s="317"/>
      <c r="AK75" s="318"/>
      <c r="AL75" s="371">
        <v>0</v>
      </c>
      <c r="AM75" s="371"/>
      <c r="AN75" s="371"/>
      <c r="AO75" s="371"/>
    </row>
    <row r="76" spans="1:42" ht="8.25" customHeight="1" x14ac:dyDescent="0.25">
      <c r="AE76" s="74"/>
      <c r="AH76" s="74"/>
      <c r="AI76" s="76"/>
      <c r="AP76" s="93"/>
    </row>
    <row r="77" spans="1:42" x14ac:dyDescent="0.25">
      <c r="A77" s="242" t="s">
        <v>86</v>
      </c>
      <c r="B77" s="242"/>
      <c r="C77" s="242"/>
      <c r="D77" s="242"/>
      <c r="E77" s="243"/>
      <c r="F77" s="380" t="s">
        <v>217</v>
      </c>
      <c r="G77" s="381"/>
      <c r="H77" s="382"/>
      <c r="K77" s="378" t="s">
        <v>85</v>
      </c>
      <c r="L77" s="378"/>
      <c r="M77" s="378"/>
      <c r="N77" s="378"/>
      <c r="O77" s="378"/>
      <c r="P77" s="378"/>
      <c r="Q77" s="379"/>
      <c r="R77" s="379"/>
      <c r="S77" s="379"/>
      <c r="T77" s="379"/>
      <c r="V77" s="383" t="s">
        <v>87</v>
      </c>
      <c r="W77" s="384"/>
      <c r="X77" s="384"/>
      <c r="Y77" s="384"/>
      <c r="Z77" s="384"/>
      <c r="AA77" s="384"/>
      <c r="AB77" s="384"/>
      <c r="AC77" s="384"/>
      <c r="AD77" s="384"/>
      <c r="AE77" s="384"/>
      <c r="AF77" s="385"/>
      <c r="AH77" s="74"/>
      <c r="AI77" s="76"/>
      <c r="AP77" s="93"/>
    </row>
    <row r="78" spans="1:42" ht="15.75" x14ac:dyDescent="0.25">
      <c r="A78" s="242" t="s">
        <v>88</v>
      </c>
      <c r="B78" s="242"/>
      <c r="C78" s="242"/>
      <c r="D78" s="242"/>
      <c r="E78" s="243"/>
      <c r="F78" s="372">
        <f>Q79</f>
        <v>0</v>
      </c>
      <c r="G78" s="373"/>
      <c r="H78" s="374"/>
      <c r="M78" s="120"/>
      <c r="N78" s="103"/>
      <c r="O78" s="103"/>
      <c r="P78" s="103"/>
      <c r="V78" s="386"/>
      <c r="W78" s="387"/>
      <c r="X78" s="387"/>
      <c r="Y78" s="387"/>
      <c r="Z78" s="387"/>
      <c r="AA78" s="387"/>
      <c r="AB78" s="387"/>
      <c r="AC78" s="387"/>
      <c r="AD78" s="387"/>
      <c r="AE78" s="387"/>
      <c r="AF78" s="388"/>
      <c r="AH78" s="257" t="s">
        <v>90</v>
      </c>
      <c r="AI78" s="258"/>
      <c r="AJ78" s="258"/>
      <c r="AK78" s="259"/>
      <c r="AL78" s="263" t="s">
        <v>91</v>
      </c>
      <c r="AM78" s="264"/>
      <c r="AN78" s="264"/>
      <c r="AO78" s="265"/>
      <c r="AP78" s="76"/>
    </row>
    <row r="79" spans="1:42" ht="15" customHeight="1" x14ac:dyDescent="0.25">
      <c r="A79" s="242" t="s">
        <v>92</v>
      </c>
      <c r="B79" s="242"/>
      <c r="C79" s="242"/>
      <c r="D79" s="242"/>
      <c r="E79" s="243"/>
      <c r="F79" s="409" t="s">
        <v>93</v>
      </c>
      <c r="G79" s="381"/>
      <c r="H79" s="382"/>
      <c r="L79" s="410" t="s">
        <v>89</v>
      </c>
      <c r="M79" s="410"/>
      <c r="N79" s="410"/>
      <c r="O79" s="410"/>
      <c r="P79" s="411"/>
      <c r="Q79" s="245">
        <f>+Q73+Q75+Q77</f>
        <v>0</v>
      </c>
      <c r="R79" s="246"/>
      <c r="S79" s="246"/>
      <c r="T79" s="247"/>
      <c r="AH79" s="260"/>
      <c r="AI79" s="261"/>
      <c r="AJ79" s="261"/>
      <c r="AK79" s="262"/>
      <c r="AL79" s="266"/>
      <c r="AM79" s="267"/>
      <c r="AN79" s="267"/>
      <c r="AO79" s="268"/>
      <c r="AP79" s="76"/>
    </row>
    <row r="80" spans="1:42" x14ac:dyDescent="0.25">
      <c r="A80" s="242" t="s">
        <v>94</v>
      </c>
      <c r="B80" s="242"/>
      <c r="C80" s="242"/>
      <c r="D80" s="242"/>
      <c r="E80" s="243"/>
      <c r="F80" s="372"/>
      <c r="G80" s="373"/>
      <c r="H80" s="374"/>
      <c r="V80" s="340" t="str">
        <f>IF(AR3="Année Complète","Nombre de mois travaillés avant:","Nombre de semaines travaillées avant")</f>
        <v>Nombre de mois travaillés avant:</v>
      </c>
      <c r="W80" s="341"/>
      <c r="X80" s="341"/>
      <c r="Y80" s="341"/>
      <c r="Z80" s="341"/>
      <c r="AA80" s="341"/>
      <c r="AB80" s="341"/>
      <c r="AC80" s="341"/>
      <c r="AD80" s="341"/>
      <c r="AE80" s="341"/>
      <c r="AF80" s="341"/>
      <c r="AG80" s="605"/>
      <c r="AH80" s="375"/>
      <c r="AI80" s="376"/>
      <c r="AJ80" s="376"/>
      <c r="AK80" s="377"/>
      <c r="AL80" s="376"/>
      <c r="AM80" s="376"/>
      <c r="AN80" s="376"/>
      <c r="AO80" s="377"/>
      <c r="AP80" s="115"/>
    </row>
    <row r="81" spans="1:42" x14ac:dyDescent="0.25">
      <c r="V81" s="343" t="str">
        <f>IF(AR3="Année Complète","Mois travaillé:","Semaines travaillées ce mois ci :")</f>
        <v>Mois travaillé:</v>
      </c>
      <c r="W81" s="606"/>
      <c r="X81" s="606"/>
      <c r="Y81" s="606"/>
      <c r="Z81" s="606"/>
      <c r="AA81" s="606"/>
      <c r="AB81" s="606"/>
      <c r="AC81" s="606"/>
      <c r="AD81" s="606"/>
      <c r="AE81" s="606"/>
      <c r="AF81" s="606"/>
      <c r="AG81" s="607"/>
      <c r="AH81" s="401"/>
      <c r="AI81" s="402"/>
      <c r="AJ81" s="402"/>
      <c r="AK81" s="403"/>
      <c r="AL81" s="404"/>
      <c r="AM81" s="404"/>
      <c r="AN81" s="404"/>
      <c r="AO81" s="405"/>
      <c r="AP81" s="115"/>
    </row>
    <row r="82" spans="1:42" x14ac:dyDescent="0.25">
      <c r="A82" s="242" t="s">
        <v>95</v>
      </c>
      <c r="B82" s="242"/>
      <c r="C82" s="242"/>
      <c r="D82" s="242"/>
      <c r="E82" s="242"/>
      <c r="F82" s="406"/>
      <c r="G82" s="406"/>
      <c r="H82" s="406"/>
      <c r="I82" s="406"/>
      <c r="J82" s="406"/>
      <c r="K82" s="406"/>
      <c r="L82" s="406"/>
      <c r="V82" s="231" t="s">
        <v>96</v>
      </c>
      <c r="W82" s="213"/>
      <c r="X82" s="213"/>
      <c r="Y82" s="213"/>
      <c r="Z82" s="213"/>
      <c r="AA82" s="213"/>
      <c r="AB82" s="213"/>
      <c r="AC82" s="213"/>
      <c r="AD82" s="213"/>
      <c r="AE82" s="213"/>
      <c r="AF82" s="213"/>
      <c r="AG82" s="232"/>
      <c r="AH82" s="254">
        <f>IF(AR3="Année Complète",MIN(ROUNDUP((AH80*2.5),0),30),MIN(ROUNDUP((AH80/4*2.5),0),30))</f>
        <v>0</v>
      </c>
      <c r="AI82" s="255"/>
      <c r="AJ82" s="255"/>
      <c r="AK82" s="256"/>
      <c r="AL82" s="254">
        <f>IF(AR3="Année Complète",MIN(ROUNDUP((AL80+AL81)*2.5,0),30),MIN(ROUNDUP((AL80+AL81)/4*2.5,0),30))</f>
        <v>0</v>
      </c>
      <c r="AM82" s="255"/>
      <c r="AN82" s="255"/>
      <c r="AO82" s="256"/>
      <c r="AP82" s="115"/>
    </row>
    <row r="83" spans="1:42" x14ac:dyDescent="0.25">
      <c r="A83" s="242" t="s">
        <v>97</v>
      </c>
      <c r="B83" s="242"/>
      <c r="C83" s="242"/>
      <c r="D83" s="242"/>
      <c r="E83" s="242"/>
      <c r="F83" s="390">
        <f>EOMONTH(X3,0)</f>
        <v>45688</v>
      </c>
      <c r="G83" s="390"/>
      <c r="H83" s="390"/>
      <c r="I83" s="390"/>
      <c r="V83" s="231" t="s">
        <v>242</v>
      </c>
      <c r="W83" s="213"/>
      <c r="X83" s="213"/>
      <c r="Y83" s="213"/>
      <c r="Z83" s="213"/>
      <c r="AA83" s="213"/>
      <c r="AB83" s="213"/>
      <c r="AC83" s="213"/>
      <c r="AD83" s="213"/>
      <c r="AE83" s="213"/>
      <c r="AF83" s="213"/>
      <c r="AG83" s="232"/>
      <c r="AH83" s="269"/>
      <c r="AI83" s="270"/>
      <c r="AJ83" s="270"/>
      <c r="AK83" s="271"/>
      <c r="AL83" s="269"/>
      <c r="AM83" s="270"/>
      <c r="AN83" s="270"/>
      <c r="AO83" s="271"/>
      <c r="AP83" s="115"/>
    </row>
    <row r="84" spans="1:42" x14ac:dyDescent="0.25">
      <c r="A84" s="242" t="s">
        <v>99</v>
      </c>
      <c r="B84" s="242"/>
      <c r="C84" s="242"/>
      <c r="D84" s="242"/>
      <c r="E84" s="242"/>
      <c r="V84" s="231" t="s">
        <v>104</v>
      </c>
      <c r="W84" s="213"/>
      <c r="X84" s="213"/>
      <c r="Y84" s="213"/>
      <c r="Z84" s="213"/>
      <c r="AA84" s="213"/>
      <c r="AB84" s="213"/>
      <c r="AC84" s="213"/>
      <c r="AD84" s="213"/>
      <c r="AE84" s="213"/>
      <c r="AF84" s="213"/>
      <c r="AG84" s="232"/>
      <c r="AH84" s="248"/>
      <c r="AI84" s="249"/>
      <c r="AJ84" s="249"/>
      <c r="AK84" s="250"/>
      <c r="AL84" s="407"/>
      <c r="AM84" s="407"/>
      <c r="AN84" s="407"/>
      <c r="AO84" s="408"/>
      <c r="AP84" s="115"/>
    </row>
    <row r="85" spans="1:42" x14ac:dyDescent="0.25">
      <c r="V85" s="231" t="s">
        <v>105</v>
      </c>
      <c r="W85" s="342"/>
      <c r="X85" s="342"/>
      <c r="Y85" s="342"/>
      <c r="Z85" s="342"/>
      <c r="AA85" s="342"/>
      <c r="AB85" s="342"/>
      <c r="AC85" s="342"/>
      <c r="AD85" s="342"/>
      <c r="AE85" s="342"/>
      <c r="AF85" s="342"/>
      <c r="AG85" s="395"/>
      <c r="AH85" s="254">
        <f>MIN(+AH84+AH82+AH83,30)</f>
        <v>0</v>
      </c>
      <c r="AI85" s="255"/>
      <c r="AJ85" s="255"/>
      <c r="AK85" s="256"/>
      <c r="AL85" s="254">
        <f>MIN(+AL82+AL83,30)</f>
        <v>0</v>
      </c>
      <c r="AM85" s="255"/>
      <c r="AN85" s="255"/>
      <c r="AO85" s="256"/>
      <c r="AP85" s="115"/>
    </row>
    <row r="86" spans="1:42" x14ac:dyDescent="0.25">
      <c r="V86" s="231" t="s">
        <v>98</v>
      </c>
      <c r="W86" s="342"/>
      <c r="X86" s="342"/>
      <c r="Y86" s="342"/>
      <c r="Z86" s="342"/>
      <c r="AA86" s="342"/>
      <c r="AB86" s="342"/>
      <c r="AC86" s="342"/>
      <c r="AD86" s="342"/>
      <c r="AE86" s="342"/>
      <c r="AF86" s="342"/>
      <c r="AG86" s="395"/>
      <c r="AH86" s="269"/>
      <c r="AI86" s="270"/>
      <c r="AJ86" s="270"/>
      <c r="AK86" s="271"/>
      <c r="AL86" s="269"/>
      <c r="AM86" s="270"/>
      <c r="AN86" s="270"/>
      <c r="AO86" s="271"/>
      <c r="AP86" s="115"/>
    </row>
    <row r="87" spans="1:42" x14ac:dyDescent="0.25">
      <c r="A87" s="244" t="s">
        <v>123</v>
      </c>
      <c r="B87" s="244"/>
      <c r="C87" s="244"/>
      <c r="D87" s="244"/>
      <c r="E87" s="244"/>
      <c r="F87" s="244"/>
      <c r="V87" s="396" t="s">
        <v>100</v>
      </c>
      <c r="W87" s="347"/>
      <c r="X87" s="347"/>
      <c r="Y87" s="347"/>
      <c r="Z87" s="347"/>
      <c r="AA87" s="347"/>
      <c r="AB87" s="347"/>
      <c r="AC87" s="347"/>
      <c r="AD87" s="347"/>
      <c r="AE87" s="347"/>
      <c r="AF87" s="347"/>
      <c r="AG87" s="397"/>
      <c r="AH87" s="248"/>
      <c r="AI87" s="249"/>
      <c r="AJ87" s="249"/>
      <c r="AK87" s="250"/>
      <c r="AL87" s="248"/>
      <c r="AM87" s="249"/>
      <c r="AN87" s="249"/>
      <c r="AO87" s="250"/>
      <c r="AP87" s="115"/>
    </row>
    <row r="88" spans="1:42" x14ac:dyDescent="0.25">
      <c r="A88" s="244" t="s">
        <v>124</v>
      </c>
      <c r="B88" s="244"/>
      <c r="C88" s="244"/>
      <c r="D88" s="244"/>
      <c r="E88" s="244"/>
      <c r="F88" s="244"/>
      <c r="V88" s="398" t="s">
        <v>101</v>
      </c>
      <c r="W88" s="399"/>
      <c r="X88" s="399"/>
      <c r="Y88" s="399"/>
      <c r="Z88" s="399"/>
      <c r="AA88" s="399"/>
      <c r="AB88" s="399"/>
      <c r="AC88" s="399"/>
      <c r="AD88" s="399"/>
      <c r="AE88" s="399"/>
      <c r="AF88" s="399"/>
      <c r="AG88" s="400"/>
      <c r="AH88" s="251">
        <f>+AH85-AH86-AH87</f>
        <v>0</v>
      </c>
      <c r="AI88" s="252"/>
      <c r="AJ88" s="252"/>
      <c r="AK88" s="253"/>
      <c r="AL88" s="251">
        <f>+AL85-AL86-AL87</f>
        <v>0</v>
      </c>
      <c r="AM88" s="252"/>
      <c r="AN88" s="252"/>
      <c r="AO88" s="253"/>
      <c r="AP88" s="115"/>
    </row>
    <row r="89" spans="1:42" x14ac:dyDescent="0.25">
      <c r="V89" s="233" t="s">
        <v>106</v>
      </c>
      <c r="W89" s="234"/>
      <c r="X89" s="234"/>
      <c r="Y89" s="234"/>
      <c r="Z89" s="234"/>
      <c r="AA89" s="234"/>
      <c r="AB89" s="234"/>
      <c r="AC89" s="234"/>
      <c r="AD89" s="234"/>
      <c r="AE89" s="234"/>
      <c r="AF89" s="234"/>
      <c r="AG89" s="235"/>
      <c r="AH89" s="236"/>
      <c r="AI89" s="237"/>
      <c r="AJ89" s="237"/>
      <c r="AK89" s="238"/>
      <c r="AL89" s="239"/>
      <c r="AM89" s="240"/>
      <c r="AN89" s="240"/>
      <c r="AO89" s="241"/>
    </row>
    <row r="90" spans="1:42" x14ac:dyDescent="0.25">
      <c r="A90" s="389"/>
      <c r="B90" s="389"/>
      <c r="C90" s="389"/>
      <c r="D90" s="389"/>
      <c r="E90" s="389"/>
      <c r="F90" s="389"/>
      <c r="G90" s="389"/>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389"/>
      <c r="AL90" s="389"/>
      <c r="AM90" s="389"/>
      <c r="AN90" s="389"/>
      <c r="AO90" s="389"/>
    </row>
    <row r="91" spans="1:42" x14ac:dyDescent="0.25">
      <c r="R91" s="76"/>
      <c r="S91" s="76"/>
      <c r="T91" s="76"/>
      <c r="U91" s="76"/>
      <c r="V91" s="76"/>
      <c r="W91" s="76"/>
      <c r="X91" s="76"/>
      <c r="Y91" s="76"/>
      <c r="Z91" s="76"/>
      <c r="AB91" s="76"/>
      <c r="AC91" s="76"/>
      <c r="AD91" s="76"/>
      <c r="AE91" s="76"/>
      <c r="AF91" s="76"/>
      <c r="AG91" s="76"/>
      <c r="AH91" s="76"/>
    </row>
    <row r="92" spans="1:42" x14ac:dyDescent="0.25">
      <c r="AA92" s="76"/>
    </row>
    <row r="95" spans="1:42" x14ac:dyDescent="0.25">
      <c r="N95" s="76"/>
      <c r="O95" s="76"/>
      <c r="P95" s="76"/>
      <c r="Q95" s="76"/>
    </row>
    <row r="103" spans="6:10" x14ac:dyDescent="0.25">
      <c r="F103" s="74"/>
      <c r="G103" s="368"/>
      <c r="H103" s="368"/>
      <c r="I103" s="368"/>
      <c r="J103" s="368"/>
    </row>
    <row r="104" spans="6:10" x14ac:dyDescent="0.25">
      <c r="F104" s="74"/>
      <c r="G104" s="369"/>
      <c r="H104" s="369"/>
      <c r="I104" s="369"/>
      <c r="J104" s="369"/>
    </row>
    <row r="105" spans="6:10" x14ac:dyDescent="0.25">
      <c r="F105" s="74"/>
      <c r="G105" s="368"/>
      <c r="H105" s="368"/>
      <c r="I105" s="368"/>
      <c r="J105" s="368"/>
    </row>
    <row r="106" spans="6:10" x14ac:dyDescent="0.25">
      <c r="F106" s="74"/>
      <c r="G106" s="369"/>
      <c r="H106" s="369"/>
      <c r="I106" s="369"/>
      <c r="J106" s="369"/>
    </row>
    <row r="107" spans="6:10" x14ac:dyDescent="0.25">
      <c r="F107" s="74"/>
      <c r="G107" s="368"/>
      <c r="H107" s="368"/>
      <c r="I107" s="368"/>
      <c r="J107" s="368"/>
    </row>
  </sheetData>
  <sheetProtection algorithmName="SHA-512" hashValue="N4FqCmf0vWLzYzbGSyxVQT9nwa5q7+zhhtnjrIObeEbyL6s5KrJfSa+a9vlHuBjUS8ZyVmI4ATZsn4NvkanVpQ==" saltValue="IPj/IXaNcvAxSx43GZMtWQ==" spinCount="100000" sheet="1" objects="1" scenarios="1" formatCells="0" formatColumns="0" formatRows="0" insertColumns="0" insertRows="0" insertHyperlinks="0" sort="0" autoFilter="0" pivotTables="0"/>
  <mergeCells count="527">
    <mergeCell ref="AJ39:AL39"/>
    <mergeCell ref="AG38:AI38"/>
    <mergeCell ref="AJ38:AL38"/>
    <mergeCell ref="T20:W20"/>
    <mergeCell ref="AB20:AC20"/>
    <mergeCell ref="AD20:AF20"/>
    <mergeCell ref="T23:W23"/>
    <mergeCell ref="AB23:AC23"/>
    <mergeCell ref="AD23:AF23"/>
    <mergeCell ref="AG23:AI23"/>
    <mergeCell ref="AJ26:AL26"/>
    <mergeCell ref="AG29:AI29"/>
    <mergeCell ref="AJ29:AL29"/>
    <mergeCell ref="AJ27:AL27"/>
    <mergeCell ref="AB34:AC34"/>
    <mergeCell ref="AD34:AF34"/>
    <mergeCell ref="AG34:AI34"/>
    <mergeCell ref="AJ34:AL34"/>
    <mergeCell ref="T22:W22"/>
    <mergeCell ref="AB22:AC22"/>
    <mergeCell ref="AD22:AF22"/>
    <mergeCell ref="AG22:AI22"/>
    <mergeCell ref="AJ22:AL22"/>
    <mergeCell ref="BC19:BD19"/>
    <mergeCell ref="AR38:AS38"/>
    <mergeCell ref="A75:D75"/>
    <mergeCell ref="E75:G75"/>
    <mergeCell ref="H75:K75"/>
    <mergeCell ref="V80:AG80"/>
    <mergeCell ref="V81:AG81"/>
    <mergeCell ref="A23:K23"/>
    <mergeCell ref="L23:O23"/>
    <mergeCell ref="P23:S23"/>
    <mergeCell ref="A72:D72"/>
    <mergeCell ref="E72:G72"/>
    <mergeCell ref="H72:K72"/>
    <mergeCell ref="A73:D73"/>
    <mergeCell ref="E73:G73"/>
    <mergeCell ref="H73:K73"/>
    <mergeCell ref="A74:D74"/>
    <mergeCell ref="E74:G74"/>
    <mergeCell ref="H74:K74"/>
    <mergeCell ref="AJ23:AL23"/>
    <mergeCell ref="AJ21:AL21"/>
    <mergeCell ref="A22:K22"/>
    <mergeCell ref="L22:O22"/>
    <mergeCell ref="P22:S22"/>
    <mergeCell ref="AR3:AS3"/>
    <mergeCell ref="X5:Y5"/>
    <mergeCell ref="Z5:AA5"/>
    <mergeCell ref="AB5:AC5"/>
    <mergeCell ref="V7:AO7"/>
    <mergeCell ref="A10:M11"/>
    <mergeCell ref="H14:K14"/>
    <mergeCell ref="O14:T14"/>
    <mergeCell ref="U14:X14"/>
    <mergeCell ref="AE14:AK14"/>
    <mergeCell ref="AL14:AO14"/>
    <mergeCell ref="V12:Y12"/>
    <mergeCell ref="Z11:AO11"/>
    <mergeCell ref="E5:R5"/>
    <mergeCell ref="E6:R6"/>
    <mergeCell ref="E7:R7"/>
    <mergeCell ref="AJ4:AO4"/>
    <mergeCell ref="E4:R4"/>
    <mergeCell ref="AR30:AU32"/>
    <mergeCell ref="A62:A67"/>
    <mergeCell ref="B68:G68"/>
    <mergeCell ref="C67:G67"/>
    <mergeCell ref="E71:G71"/>
    <mergeCell ref="H71:K71"/>
    <mergeCell ref="AJ18:AL19"/>
    <mergeCell ref="A19:K19"/>
    <mergeCell ref="L19:O19"/>
    <mergeCell ref="P19:S19"/>
    <mergeCell ref="T19:W19"/>
    <mergeCell ref="AG20:AI20"/>
    <mergeCell ref="AJ20:AL20"/>
    <mergeCell ref="A21:K21"/>
    <mergeCell ref="L21:O21"/>
    <mergeCell ref="P21:S21"/>
    <mergeCell ref="T21:W21"/>
    <mergeCell ref="AB21:AC21"/>
    <mergeCell ref="AD21:AF21"/>
    <mergeCell ref="AG21:AI21"/>
    <mergeCell ref="A20:K20"/>
    <mergeCell ref="L20:O20"/>
    <mergeCell ref="P20:S20"/>
    <mergeCell ref="AG39:AI39"/>
    <mergeCell ref="M15:N15"/>
    <mergeCell ref="AE15:AK15"/>
    <mergeCell ref="AL15:AO15"/>
    <mergeCell ref="A18:K18"/>
    <mergeCell ref="L18:O18"/>
    <mergeCell ref="P18:S18"/>
    <mergeCell ref="T18:W18"/>
    <mergeCell ref="AB18:AC19"/>
    <mergeCell ref="AD18:AF19"/>
    <mergeCell ref="AG18:AI19"/>
    <mergeCell ref="X15:Y15"/>
    <mergeCell ref="AJ24:AL24"/>
    <mergeCell ref="B25:K25"/>
    <mergeCell ref="L25:O25"/>
    <mergeCell ref="P25:S25"/>
    <mergeCell ref="T25:W25"/>
    <mergeCell ref="AB25:AC25"/>
    <mergeCell ref="AD25:AF25"/>
    <mergeCell ref="B24:K24"/>
    <mergeCell ref="L24:O24"/>
    <mergeCell ref="P24:S24"/>
    <mergeCell ref="T24:W24"/>
    <mergeCell ref="AB24:AC24"/>
    <mergeCell ref="AG25:AI25"/>
    <mergeCell ref="AJ25:AL25"/>
    <mergeCell ref="A24:A25"/>
    <mergeCell ref="AG26:AI26"/>
    <mergeCell ref="AD24:AF24"/>
    <mergeCell ref="AG24:AI24"/>
    <mergeCell ref="B27:K27"/>
    <mergeCell ref="L27:O27"/>
    <mergeCell ref="P27:S27"/>
    <mergeCell ref="T27:W27"/>
    <mergeCell ref="AB27:AC27"/>
    <mergeCell ref="AD27:AF27"/>
    <mergeCell ref="AG27:AI27"/>
    <mergeCell ref="AG28:AI28"/>
    <mergeCell ref="AJ28:AL28"/>
    <mergeCell ref="AG30:AI30"/>
    <mergeCell ref="AJ30:AL30"/>
    <mergeCell ref="A26:A32"/>
    <mergeCell ref="B26:K26"/>
    <mergeCell ref="L26:O26"/>
    <mergeCell ref="P26:S26"/>
    <mergeCell ref="T26:W26"/>
    <mergeCell ref="AB26:AC26"/>
    <mergeCell ref="AD26:AF26"/>
    <mergeCell ref="B29:K29"/>
    <mergeCell ref="L29:O29"/>
    <mergeCell ref="P29:S29"/>
    <mergeCell ref="T29:W29"/>
    <mergeCell ref="AB29:AC29"/>
    <mergeCell ref="AD29:AF29"/>
    <mergeCell ref="B30:K30"/>
    <mergeCell ref="L30:O30"/>
    <mergeCell ref="P30:S30"/>
    <mergeCell ref="T30:W30"/>
    <mergeCell ref="AB30:AC30"/>
    <mergeCell ref="AD30:AF30"/>
    <mergeCell ref="B28:K28"/>
    <mergeCell ref="L28:O28"/>
    <mergeCell ref="P28:S28"/>
    <mergeCell ref="T28:W28"/>
    <mergeCell ref="AB28:AC28"/>
    <mergeCell ref="AD28:AF28"/>
    <mergeCell ref="L33:S33"/>
    <mergeCell ref="T33:W33"/>
    <mergeCell ref="AB33:AC33"/>
    <mergeCell ref="AD33:AF33"/>
    <mergeCell ref="AG33:AI33"/>
    <mergeCell ref="AJ33:AL33"/>
    <mergeCell ref="AJ31:AL31"/>
    <mergeCell ref="B32:K32"/>
    <mergeCell ref="L32:O32"/>
    <mergeCell ref="P32:S32"/>
    <mergeCell ref="T32:W32"/>
    <mergeCell ref="AB32:AC32"/>
    <mergeCell ref="AD32:AF32"/>
    <mergeCell ref="AG32:AI32"/>
    <mergeCell ref="AJ32:AL32"/>
    <mergeCell ref="B31:K31"/>
    <mergeCell ref="L31:O31"/>
    <mergeCell ref="P31:S31"/>
    <mergeCell ref="T31:W31"/>
    <mergeCell ref="AB31:AC31"/>
    <mergeCell ref="AD31:AF31"/>
    <mergeCell ref="AG31:AI31"/>
    <mergeCell ref="H35:P35"/>
    <mergeCell ref="R35:Z35"/>
    <mergeCell ref="AB35:AC35"/>
    <mergeCell ref="AD35:AF35"/>
    <mergeCell ref="AG35:AI35"/>
    <mergeCell ref="AJ35:AL35"/>
    <mergeCell ref="AD37:AF37"/>
    <mergeCell ref="AG37:AI37"/>
    <mergeCell ref="AJ37:AL37"/>
    <mergeCell ref="AD36:AF36"/>
    <mergeCell ref="AG36:AI36"/>
    <mergeCell ref="AJ36:AL36"/>
    <mergeCell ref="X36:Z36"/>
    <mergeCell ref="AB36:AC36"/>
    <mergeCell ref="X37:Z37"/>
    <mergeCell ref="AB37:AC37"/>
    <mergeCell ref="A37:G37"/>
    <mergeCell ref="H37:J37"/>
    <mergeCell ref="K37:M37"/>
    <mergeCell ref="N37:P37"/>
    <mergeCell ref="R37:T37"/>
    <mergeCell ref="U37:W37"/>
    <mergeCell ref="A36:G36"/>
    <mergeCell ref="H36:J36"/>
    <mergeCell ref="K36:M36"/>
    <mergeCell ref="N36:P36"/>
    <mergeCell ref="R36:T36"/>
    <mergeCell ref="U36:W36"/>
    <mergeCell ref="A38:G38"/>
    <mergeCell ref="H38:J38"/>
    <mergeCell ref="K38:M38"/>
    <mergeCell ref="N38:P38"/>
    <mergeCell ref="R38:T38"/>
    <mergeCell ref="U38:W38"/>
    <mergeCell ref="X39:Z39"/>
    <mergeCell ref="AB39:AC39"/>
    <mergeCell ref="AD39:AF39"/>
    <mergeCell ref="A39:G39"/>
    <mergeCell ref="H39:J39"/>
    <mergeCell ref="K39:M39"/>
    <mergeCell ref="N39:P39"/>
    <mergeCell ref="R39:T39"/>
    <mergeCell ref="U39:W39"/>
    <mergeCell ref="X38:Z38"/>
    <mergeCell ref="AB38:AC38"/>
    <mergeCell ref="AD38:AF38"/>
    <mergeCell ref="X40:Z40"/>
    <mergeCell ref="AB40:AC40"/>
    <mergeCell ref="AD40:AF40"/>
    <mergeCell ref="AG40:AI40"/>
    <mergeCell ref="AJ40:AL40"/>
    <mergeCell ref="A40:G40"/>
    <mergeCell ref="H40:J40"/>
    <mergeCell ref="K40:M40"/>
    <mergeCell ref="N40:P40"/>
    <mergeCell ref="R40:T40"/>
    <mergeCell ref="U40:W40"/>
    <mergeCell ref="AB41:AC41"/>
    <mergeCell ref="AD41:AF41"/>
    <mergeCell ref="AG41:AI41"/>
    <mergeCell ref="AJ41:AL41"/>
    <mergeCell ref="A42:G42"/>
    <mergeCell ref="H42:J42"/>
    <mergeCell ref="N41:P41"/>
    <mergeCell ref="R41:T41"/>
    <mergeCell ref="U41:W41"/>
    <mergeCell ref="X41:Z41"/>
    <mergeCell ref="X42:Z42"/>
    <mergeCell ref="AB42:AC42"/>
    <mergeCell ref="AD42:AF42"/>
    <mergeCell ref="AG42:AI42"/>
    <mergeCell ref="AJ42:AL42"/>
    <mergeCell ref="K42:M42"/>
    <mergeCell ref="N42:P42"/>
    <mergeCell ref="R42:T42"/>
    <mergeCell ref="U42:W42"/>
    <mergeCell ref="X43:Z43"/>
    <mergeCell ref="AB43:AC43"/>
    <mergeCell ref="AD43:AF43"/>
    <mergeCell ref="AG43:AI43"/>
    <mergeCell ref="AJ43:AL43"/>
    <mergeCell ref="K43:M43"/>
    <mergeCell ref="N43:P43"/>
    <mergeCell ref="R43:T43"/>
    <mergeCell ref="U43:W43"/>
    <mergeCell ref="X44:Z44"/>
    <mergeCell ref="AB44:AC44"/>
    <mergeCell ref="AD44:AF44"/>
    <mergeCell ref="AG44:AI44"/>
    <mergeCell ref="AJ44:AL44"/>
    <mergeCell ref="A44:G44"/>
    <mergeCell ref="H44:J44"/>
    <mergeCell ref="K44:M44"/>
    <mergeCell ref="N44:P44"/>
    <mergeCell ref="R44:T44"/>
    <mergeCell ref="U44:W44"/>
    <mergeCell ref="X45:Z45"/>
    <mergeCell ref="AB45:AC45"/>
    <mergeCell ref="AD45:AF45"/>
    <mergeCell ref="AG45:AI45"/>
    <mergeCell ref="AJ45:AL45"/>
    <mergeCell ref="A45:G45"/>
    <mergeCell ref="H45:J45"/>
    <mergeCell ref="K45:M45"/>
    <mergeCell ref="N45:P45"/>
    <mergeCell ref="R45:T45"/>
    <mergeCell ref="U45:W45"/>
    <mergeCell ref="X46:Z46"/>
    <mergeCell ref="AB46:AC46"/>
    <mergeCell ref="AD46:AF46"/>
    <mergeCell ref="AG46:AI46"/>
    <mergeCell ref="AJ46:AL46"/>
    <mergeCell ref="A46:G46"/>
    <mergeCell ref="H46:J46"/>
    <mergeCell ref="K46:M46"/>
    <mergeCell ref="N46:P46"/>
    <mergeCell ref="R46:T46"/>
    <mergeCell ref="U46:W46"/>
    <mergeCell ref="A49:G49"/>
    <mergeCell ref="H49:J49"/>
    <mergeCell ref="K49:M49"/>
    <mergeCell ref="N49:P49"/>
    <mergeCell ref="R49:T49"/>
    <mergeCell ref="U49:W49"/>
    <mergeCell ref="AB48:AC48"/>
    <mergeCell ref="AD48:AF48"/>
    <mergeCell ref="AG48:AI48"/>
    <mergeCell ref="AB51:AC51"/>
    <mergeCell ref="AD51:AF51"/>
    <mergeCell ref="AG51:AI51"/>
    <mergeCell ref="AJ51:AL51"/>
    <mergeCell ref="R47:T47"/>
    <mergeCell ref="U47:W47"/>
    <mergeCell ref="H47:J47"/>
    <mergeCell ref="K47:M47"/>
    <mergeCell ref="N47:P47"/>
    <mergeCell ref="AB50:AC50"/>
    <mergeCell ref="AD50:AF50"/>
    <mergeCell ref="AG50:AI50"/>
    <mergeCell ref="AJ50:AL50"/>
    <mergeCell ref="X49:Z49"/>
    <mergeCell ref="AB49:AC49"/>
    <mergeCell ref="AD49:AF49"/>
    <mergeCell ref="AG49:AI49"/>
    <mergeCell ref="AJ49:AL49"/>
    <mergeCell ref="AJ48:AL48"/>
    <mergeCell ref="AB47:AC47"/>
    <mergeCell ref="AD47:AF47"/>
    <mergeCell ref="AG47:AI47"/>
    <mergeCell ref="AJ47:AL47"/>
    <mergeCell ref="AC61:AO61"/>
    <mergeCell ref="H58:M58"/>
    <mergeCell ref="N58:P58"/>
    <mergeCell ref="R58:W58"/>
    <mergeCell ref="X58:Z58"/>
    <mergeCell ref="H59:M59"/>
    <mergeCell ref="N59:P59"/>
    <mergeCell ref="AC62:AO62"/>
    <mergeCell ref="X48:Z48"/>
    <mergeCell ref="R50:T50"/>
    <mergeCell ref="U50:W50"/>
    <mergeCell ref="X50:Z50"/>
    <mergeCell ref="R48:T48"/>
    <mergeCell ref="U48:W48"/>
    <mergeCell ref="X56:Z56"/>
    <mergeCell ref="X57:Z57"/>
    <mergeCell ref="H48:J48"/>
    <mergeCell ref="K48:M48"/>
    <mergeCell ref="N48:P48"/>
    <mergeCell ref="H50:J50"/>
    <mergeCell ref="K50:M50"/>
    <mergeCell ref="N50:P50"/>
    <mergeCell ref="H52:J52"/>
    <mergeCell ref="K52:M52"/>
    <mergeCell ref="L79:P79"/>
    <mergeCell ref="H67:J67"/>
    <mergeCell ref="V82:AG82"/>
    <mergeCell ref="AC64:AO64"/>
    <mergeCell ref="H65:J65"/>
    <mergeCell ref="K65:M65"/>
    <mergeCell ref="K64:M64"/>
    <mergeCell ref="N64:P64"/>
    <mergeCell ref="R64:Z64"/>
    <mergeCell ref="F83:I83"/>
    <mergeCell ref="AH84:AK84"/>
    <mergeCell ref="G103:J103"/>
    <mergeCell ref="G104:J104"/>
    <mergeCell ref="Q73:T73"/>
    <mergeCell ref="Z72:AK72"/>
    <mergeCell ref="AL72:AO72"/>
    <mergeCell ref="AL67:AO67"/>
    <mergeCell ref="H68:J68"/>
    <mergeCell ref="K68:M68"/>
    <mergeCell ref="N68:P68"/>
    <mergeCell ref="Z68:AB68"/>
    <mergeCell ref="AD68:AK68"/>
    <mergeCell ref="AL68:AO68"/>
    <mergeCell ref="V85:AG85"/>
    <mergeCell ref="V86:AG86"/>
    <mergeCell ref="V87:AG87"/>
    <mergeCell ref="V88:AG88"/>
    <mergeCell ref="AH81:AK81"/>
    <mergeCell ref="AL81:AO81"/>
    <mergeCell ref="F82:L82"/>
    <mergeCell ref="AH82:AK82"/>
    <mergeCell ref="AL84:AO84"/>
    <mergeCell ref="F79:H79"/>
    <mergeCell ref="AI3:AO3"/>
    <mergeCell ref="X4:AC4"/>
    <mergeCell ref="AF4:AI4"/>
    <mergeCell ref="G105:J105"/>
    <mergeCell ref="G106:J106"/>
    <mergeCell ref="Q75:T75"/>
    <mergeCell ref="Z74:AK74"/>
    <mergeCell ref="AL74:AO74"/>
    <mergeCell ref="G107:J107"/>
    <mergeCell ref="Z75:AK75"/>
    <mergeCell ref="AL75:AO75"/>
    <mergeCell ref="F80:H80"/>
    <mergeCell ref="AH80:AK80"/>
    <mergeCell ref="AL80:AO80"/>
    <mergeCell ref="K77:P77"/>
    <mergeCell ref="Q77:T77"/>
    <mergeCell ref="F77:H77"/>
    <mergeCell ref="V77:AF78"/>
    <mergeCell ref="F78:H78"/>
    <mergeCell ref="A90:AO90"/>
    <mergeCell ref="AH85:AK85"/>
    <mergeCell ref="AL85:AO85"/>
    <mergeCell ref="AH86:AK86"/>
    <mergeCell ref="AL86:AO86"/>
    <mergeCell ref="R62:Z62"/>
    <mergeCell ref="H63:J63"/>
    <mergeCell ref="K63:M63"/>
    <mergeCell ref="BC1:BD1"/>
    <mergeCell ref="BC7:BD7"/>
    <mergeCell ref="BC13:BD13"/>
    <mergeCell ref="Z12:AO12"/>
    <mergeCell ref="A4:D4"/>
    <mergeCell ref="A5:D5"/>
    <mergeCell ref="A6:D6"/>
    <mergeCell ref="A7:D7"/>
    <mergeCell ref="A8:D8"/>
    <mergeCell ref="V8:Y8"/>
    <mergeCell ref="V9:Y9"/>
    <mergeCell ref="V10:Y10"/>
    <mergeCell ref="V11:Y11"/>
    <mergeCell ref="Z8:AO8"/>
    <mergeCell ref="Z9:AO9"/>
    <mergeCell ref="E8:R8"/>
    <mergeCell ref="Z10:AO10"/>
    <mergeCell ref="A1:AO1"/>
    <mergeCell ref="A3:R3"/>
    <mergeCell ref="X3:AC3"/>
    <mergeCell ref="AF3:AH3"/>
    <mergeCell ref="Q71:T71"/>
    <mergeCell ref="Z71:AK71"/>
    <mergeCell ref="H66:J66"/>
    <mergeCell ref="K66:M66"/>
    <mergeCell ref="N66:P66"/>
    <mergeCell ref="AD66:AK66"/>
    <mergeCell ref="K67:M67"/>
    <mergeCell ref="AD67:AK67"/>
    <mergeCell ref="H54:J54"/>
    <mergeCell ref="K54:M54"/>
    <mergeCell ref="N54:P54"/>
    <mergeCell ref="R54:T54"/>
    <mergeCell ref="U54:W54"/>
    <mergeCell ref="X54:Z54"/>
    <mergeCell ref="Z67:AB67"/>
    <mergeCell ref="H61:J61"/>
    <mergeCell ref="K61:M61"/>
    <mergeCell ref="N61:P61"/>
    <mergeCell ref="R61:W61"/>
    <mergeCell ref="X61:Z61"/>
    <mergeCell ref="N65:P65"/>
    <mergeCell ref="H62:J62"/>
    <mergeCell ref="K62:M62"/>
    <mergeCell ref="N62:P62"/>
    <mergeCell ref="H56:J56"/>
    <mergeCell ref="K56:M56"/>
    <mergeCell ref="N56:P56"/>
    <mergeCell ref="R56:T56"/>
    <mergeCell ref="U56:W56"/>
    <mergeCell ref="L73:P73"/>
    <mergeCell ref="L75:P75"/>
    <mergeCell ref="A57:G57"/>
    <mergeCell ref="H57:J57"/>
    <mergeCell ref="K57:M57"/>
    <mergeCell ref="N57:P57"/>
    <mergeCell ref="R57:T57"/>
    <mergeCell ref="U57:W57"/>
    <mergeCell ref="N69:P69"/>
    <mergeCell ref="N67:P67"/>
    <mergeCell ref="R60:AO60"/>
    <mergeCell ref="A61:G61"/>
    <mergeCell ref="AL71:AO71"/>
    <mergeCell ref="AL66:AO66"/>
    <mergeCell ref="N63:P63"/>
    <mergeCell ref="R63:Z63"/>
    <mergeCell ref="AC63:AO63"/>
    <mergeCell ref="H64:J64"/>
    <mergeCell ref="L71:P71"/>
    <mergeCell ref="V83:AG83"/>
    <mergeCell ref="V89:AG89"/>
    <mergeCell ref="AH89:AK89"/>
    <mergeCell ref="AL89:AO89"/>
    <mergeCell ref="A77:E77"/>
    <mergeCell ref="A78:E78"/>
    <mergeCell ref="A79:E79"/>
    <mergeCell ref="A80:E80"/>
    <mergeCell ref="A82:E82"/>
    <mergeCell ref="A83:E83"/>
    <mergeCell ref="A84:E84"/>
    <mergeCell ref="A87:F87"/>
    <mergeCell ref="A88:F88"/>
    <mergeCell ref="Q79:T79"/>
    <mergeCell ref="AH87:AK87"/>
    <mergeCell ref="AL87:AO87"/>
    <mergeCell ref="AH88:AK88"/>
    <mergeCell ref="AL88:AO88"/>
    <mergeCell ref="AL82:AO82"/>
    <mergeCell ref="AH78:AK79"/>
    <mergeCell ref="AL78:AO79"/>
    <mergeCell ref="AH83:AK83"/>
    <mergeCell ref="AL83:AO83"/>
    <mergeCell ref="V84:AG84"/>
    <mergeCell ref="AR17:AT17"/>
    <mergeCell ref="H51:J51"/>
    <mergeCell ref="K51:M51"/>
    <mergeCell ref="N51:P51"/>
    <mergeCell ref="H53:J53"/>
    <mergeCell ref="K53:M53"/>
    <mergeCell ref="N53:P53"/>
    <mergeCell ref="H55:J55"/>
    <mergeCell ref="K55:M55"/>
    <mergeCell ref="N55:P55"/>
    <mergeCell ref="R51:T51"/>
    <mergeCell ref="U51:W51"/>
    <mergeCell ref="X51:Z51"/>
    <mergeCell ref="R53:T53"/>
    <mergeCell ref="U53:W53"/>
    <mergeCell ref="X53:Z53"/>
    <mergeCell ref="R55:T55"/>
    <mergeCell ref="U55:W55"/>
    <mergeCell ref="X55:Z55"/>
    <mergeCell ref="N52:P52"/>
    <mergeCell ref="R52:T52"/>
    <mergeCell ref="U52:W52"/>
    <mergeCell ref="X52:Z52"/>
    <mergeCell ref="X47:Z47"/>
  </mergeCells>
  <conditionalFormatting sqref="B26:K27 T26:W32">
    <cfRule type="notContainsBlanks" dxfId="108" priority="15">
      <formula>LEN(TRIM(B26))&gt;0</formula>
    </cfRule>
  </conditionalFormatting>
  <conditionalFormatting sqref="C67:G67 N67:P67 H68:J68">
    <cfRule type="notContainsBlanks" dxfId="107" priority="13">
      <formula>LEN(TRIM(C67))&gt;0</formula>
    </cfRule>
  </conditionalFormatting>
  <conditionalFormatting sqref="E4:R8">
    <cfRule type="notContainsBlanks" dxfId="106" priority="20">
      <formula>LEN(TRIM(E4))&gt;0</formula>
    </cfRule>
  </conditionalFormatting>
  <conditionalFormatting sqref="H14:K14 U14:X14 AL14:AO14">
    <cfRule type="notContainsBlanks" dxfId="105" priority="16">
      <formula>LEN(TRIM(H14))&gt;0</formula>
    </cfRule>
  </conditionalFormatting>
  <conditionalFormatting sqref="H72:K75">
    <cfRule type="notContainsBlanks" dxfId="104" priority="12">
      <formula>LEN(TRIM(H72))&gt;0</formula>
    </cfRule>
  </conditionalFormatting>
  <conditionalFormatting sqref="H62:M66">
    <cfRule type="notContainsBlanks" dxfId="103" priority="14">
      <formula>LEN(TRIM(H62))&gt;0</formula>
    </cfRule>
  </conditionalFormatting>
  <conditionalFormatting sqref="H37:P38 H39:M40 N39:P49 H42:J42 K42:M49 H44:J49 H50:P57">
    <cfRule type="cellIs" dxfId="102" priority="21" operator="equal">
      <formula>0</formula>
    </cfRule>
  </conditionalFormatting>
  <conditionalFormatting sqref="L21:O21">
    <cfRule type="expression" dxfId="101" priority="44">
      <formula>$A$21=""</formula>
    </cfRule>
    <cfRule type="cellIs" dxfId="100" priority="46" operator="equal">
      <formula>0</formula>
    </cfRule>
  </conditionalFormatting>
  <conditionalFormatting sqref="L24:O25">
    <cfRule type="cellIs" dxfId="99" priority="35" operator="equal">
      <formula>0</formula>
    </cfRule>
  </conditionalFormatting>
  <conditionalFormatting sqref="L22:S22">
    <cfRule type="expression" dxfId="98" priority="25">
      <formula>$L$22=0</formula>
    </cfRule>
  </conditionalFormatting>
  <conditionalFormatting sqref="L23:S23">
    <cfRule type="expression" dxfId="97" priority="24">
      <formula>$L$23=0</formula>
    </cfRule>
  </conditionalFormatting>
  <conditionalFormatting sqref="L20:W20">
    <cfRule type="cellIs" dxfId="96" priority="39" operator="equal">
      <formula>0</formula>
    </cfRule>
  </conditionalFormatting>
  <conditionalFormatting sqref="P24:S25">
    <cfRule type="expression" dxfId="95" priority="34">
      <formula>$L$25=0</formula>
    </cfRule>
  </conditionalFormatting>
  <conditionalFormatting sqref="P21:W21">
    <cfRule type="expression" dxfId="94" priority="43">
      <formula>$A$21=""</formula>
    </cfRule>
  </conditionalFormatting>
  <conditionalFormatting sqref="T22:W22">
    <cfRule type="expression" dxfId="93" priority="23">
      <formula>$T$22=0</formula>
    </cfRule>
  </conditionalFormatting>
  <conditionalFormatting sqref="T23:W23">
    <cfRule type="expression" dxfId="92" priority="22">
      <formula>$T$23=0</formula>
    </cfRule>
  </conditionalFormatting>
  <conditionalFormatting sqref="T24:W25">
    <cfRule type="cellIs" dxfId="91" priority="33" operator="equal">
      <formula>0</formula>
    </cfRule>
  </conditionalFormatting>
  <conditionalFormatting sqref="Z8:AO12">
    <cfRule type="notContainsBlanks" dxfId="90" priority="17">
      <formula>LEN(TRIM(Z8))&gt;0</formula>
    </cfRule>
  </conditionalFormatting>
  <conditionalFormatting sqref="AH80:AK80 AL80:AO81 AL83:AO83 AH83:AK84 AH86:AO87 AH89:AK89">
    <cfRule type="notContainsBlanks" dxfId="89" priority="10">
      <formula>LEN(TRIM(AH80))&gt;0</formula>
    </cfRule>
  </conditionalFormatting>
  <conditionalFormatting sqref="AI3:AO3 AJ4:AO4">
    <cfRule type="notContainsBlanks" dxfId="88" priority="18">
      <formula>LEN(TRIM(AI3))&gt;0</formula>
    </cfRule>
  </conditionalFormatting>
  <conditionalFormatting sqref="AL84">
    <cfRule type="cellIs" dxfId="87" priority="47" stopIfTrue="1" operator="equal">
      <formula>0</formula>
    </cfRule>
  </conditionalFormatting>
  <conditionalFormatting sqref="AL89">
    <cfRule type="cellIs" dxfId="86" priority="29" stopIfTrue="1" operator="equal">
      <formula>0</formula>
    </cfRule>
  </conditionalFormatting>
  <conditionalFormatting sqref="AR33">
    <cfRule type="expression" dxfId="85" priority="40">
      <formula>+AND($L$21&gt;0,$AR$33="OUI")</formula>
    </cfRule>
  </conditionalFormatting>
  <conditionalFormatting sqref="AR38">
    <cfRule type="expression" dxfId="84" priority="28">
      <formula>+AND($L$21&gt;0,$AR$33="OUI")</formula>
    </cfRule>
  </conditionalFormatting>
  <dataValidations count="11">
    <dataValidation allowBlank="1" showInputMessage="1" showErrorMessage="1" prompt="Vous pouvez choisir avec la petite flèche à droite &quot;Salaires heures normales réelles &quot;" sqref="A19:K19" xr:uid="{00000000-0002-0000-0000-000001000000}"/>
    <dataValidation type="list" allowBlank="1" showInputMessage="1" showErrorMessage="1" sqref="F79:H79" xr:uid="{00000000-0002-0000-0000-000002000000}">
      <formula1>"' ,Chèque,Espèce,Virement,Pajemploi +,CESU"</formula1>
    </dataValidation>
    <dataValidation type="list" allowBlank="1" showInputMessage="1" showErrorMessage="1" sqref="F77:H77" xr:uid="{00000000-0002-0000-0000-000003000000}">
      <formula1>"Chèque,Espèce,Virement,Pajemploi +,CESU"</formula1>
    </dataValidation>
    <dataValidation operator="lessThanOrEqual" allowBlank="1" showErrorMessage="1" errorTitle="erreur plafond" error="Le bulletin n'est pas adapté pour les salaires suppérieurs à la première tranche du plafond de la CPAM soit 3377 €" sqref="P34 T33" xr:uid="{00000000-0002-0000-0000-000004000000}">
      <formula1>0</formula1>
      <formula2>0</formula2>
    </dataValidation>
    <dataValidation type="list" allowBlank="1" showInputMessage="1" showErrorMessage="1" sqref="AR3" xr:uid="{00000000-0002-0000-0000-000005000000}">
      <formula1>"Année Complète, Année Incomplète"</formula1>
    </dataValidation>
    <dataValidation type="list" allowBlank="1" showInputMessage="1" showErrorMessage="1" sqref="X3:AC3" xr:uid="{00000000-0002-0000-0000-000007000000}">
      <formula1>$BJ$2:$BJ$13</formula1>
    </dataValidation>
    <dataValidation type="list" allowBlank="1" showInputMessage="1" showErrorMessage="1" sqref="AR14 AR33" xr:uid="{40FD987C-C1B8-4BF8-9A4D-68936129B475}">
      <formula1>"NON,OUI"</formula1>
    </dataValidation>
    <dataValidation type="list" allowBlank="1" showInputMessage="1" showErrorMessage="1" sqref="B32:K32" xr:uid="{191B6A20-0C6A-425C-AAE9-A93ADBACDAF3}">
      <formula1>"Prime de précarité 10% (CDD)"</formula1>
    </dataValidation>
    <dataValidation type="list" allowBlank="1" showInputMessage="1" showErrorMessage="1" sqref="V87" xr:uid="{8D2F4E0D-E6F4-4714-8C27-DF8C466D914F}">
      <formula1>"Congés pris payés ce mois :,Congés payés dans l'ICCP :"</formula1>
    </dataValidation>
    <dataValidation type="list" allowBlank="1" showInputMessage="1" showErrorMessage="1" sqref="AR38:AS38" xr:uid="{6617F694-4555-47B2-BA37-383136FD8C3E}">
      <formula1>HR_HM</formula1>
    </dataValidation>
    <dataValidation showInputMessage="1" showErrorMessage="1" sqref="AR7:AS9" xr:uid="{A3F43B95-1EFC-430A-8FCB-26E314A964D1}"/>
  </dataValidations>
  <printOptions horizontalCentered="1" verticalCentered="1"/>
  <pageMargins left="0.23622047244094491" right="0.23622047244094491" top="0.35433070866141736" bottom="0.35433070866141736" header="0.31496062992125984" footer="0.31496062992125984"/>
  <pageSetup paperSize="9" scale="63"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977D-B1C8-469A-9113-A14BBF0CE47E}">
  <sheetPr>
    <tabColor rgb="FFFF0000"/>
    <pageSetUpPr fitToPage="1"/>
  </sheetPr>
  <dimension ref="A1:K52"/>
  <sheetViews>
    <sheetView showGridLines="0" zoomScaleNormal="100" workbookViewId="0">
      <selection activeCell="F14" sqref="F14"/>
    </sheetView>
  </sheetViews>
  <sheetFormatPr baseColWidth="10" defaultRowHeight="12.75" x14ac:dyDescent="0.2"/>
  <cols>
    <col min="1" max="1" width="7.28515625" style="16" customWidth="1"/>
    <col min="2" max="2" width="14.7109375" style="16" customWidth="1"/>
    <col min="3" max="3" width="21.7109375" style="16" customWidth="1"/>
    <col min="4" max="4" width="18.28515625" style="16" customWidth="1"/>
    <col min="5" max="5" width="13.85546875" style="16" customWidth="1"/>
    <col min="6" max="6" width="6.28515625" style="16" customWidth="1"/>
    <col min="7" max="7" width="22.85546875" style="16" customWidth="1"/>
    <col min="8" max="8" width="11.42578125" style="16"/>
    <col min="9" max="9" width="13.5703125" style="16" customWidth="1"/>
    <col min="10" max="10" width="11.42578125" style="16"/>
    <col min="11" max="11" width="38.5703125" style="16" customWidth="1"/>
    <col min="12" max="16384" width="11.42578125" style="16"/>
  </cols>
  <sheetData>
    <row r="1" spans="1:11" x14ac:dyDescent="0.2">
      <c r="C1" s="17"/>
      <c r="D1" s="17"/>
      <c r="E1" s="17" t="s">
        <v>128</v>
      </c>
      <c r="F1" s="17"/>
      <c r="G1" s="17"/>
    </row>
    <row r="2" spans="1:11" x14ac:dyDescent="0.2">
      <c r="C2" s="17"/>
      <c r="D2" s="17"/>
      <c r="E2" s="17"/>
      <c r="F2" s="17"/>
      <c r="G2" s="17"/>
      <c r="I2" s="17"/>
    </row>
    <row r="3" spans="1:11" x14ac:dyDescent="0.2">
      <c r="C3" s="17"/>
      <c r="D3" s="17"/>
      <c r="E3" s="17"/>
      <c r="F3" s="17"/>
      <c r="G3" s="17"/>
      <c r="I3" s="17"/>
      <c r="J3" s="18"/>
      <c r="K3" s="19"/>
    </row>
    <row r="4" spans="1:11" x14ac:dyDescent="0.2">
      <c r="A4" s="20"/>
      <c r="B4" s="75"/>
      <c r="C4" s="21" t="s">
        <v>129</v>
      </c>
      <c r="D4" s="626">
        <v>0</v>
      </c>
      <c r="E4" s="626"/>
      <c r="F4" s="75"/>
      <c r="G4" s="75"/>
      <c r="H4" s="75"/>
      <c r="I4" s="75"/>
    </row>
    <row r="5" spans="1:11" x14ac:dyDescent="0.2">
      <c r="A5" s="20"/>
      <c r="B5" s="75"/>
      <c r="C5" s="21"/>
      <c r="D5" s="75"/>
      <c r="E5" s="75"/>
      <c r="F5" s="75"/>
      <c r="G5" s="75"/>
      <c r="H5" s="75"/>
      <c r="I5" s="75"/>
    </row>
    <row r="6" spans="1:11" x14ac:dyDescent="0.2">
      <c r="D6" s="21" t="s">
        <v>143</v>
      </c>
      <c r="E6" s="22">
        <f>+'Bulletin simple'!H14</f>
        <v>0</v>
      </c>
      <c r="I6" s="18" t="s">
        <v>130</v>
      </c>
      <c r="J6" s="23">
        <f>+'Bulletin simple'!AL14</f>
        <v>0</v>
      </c>
    </row>
    <row r="7" spans="1:11" x14ac:dyDescent="0.2">
      <c r="D7" s="21" t="s">
        <v>131</v>
      </c>
      <c r="E7" s="22">
        <f>+'Bulletin simple'!U14</f>
        <v>0</v>
      </c>
      <c r="F7" s="24"/>
      <c r="G7" s="25"/>
      <c r="H7" s="26"/>
      <c r="I7" s="25"/>
      <c r="J7" s="27"/>
    </row>
    <row r="9" spans="1:11" x14ac:dyDescent="0.2">
      <c r="C9" s="21" t="s">
        <v>2</v>
      </c>
      <c r="D9" s="28">
        <f>+B13</f>
        <v>45658</v>
      </c>
      <c r="F9" s="29"/>
      <c r="G9" s="30">
        <v>44593</v>
      </c>
      <c r="H9" s="31">
        <v>44593</v>
      </c>
    </row>
    <row r="10" spans="1:11" ht="13.5" thickBot="1" x14ac:dyDescent="0.25">
      <c r="C10" s="21"/>
      <c r="D10" s="29"/>
      <c r="F10" s="29"/>
      <c r="G10" s="30"/>
      <c r="H10" s="31"/>
    </row>
    <row r="11" spans="1:11" x14ac:dyDescent="0.2">
      <c r="B11" s="627" t="s">
        <v>25</v>
      </c>
      <c r="C11" s="629" t="s">
        <v>132</v>
      </c>
      <c r="D11" s="629" t="s">
        <v>133</v>
      </c>
      <c r="E11" s="28"/>
      <c r="F11" s="28"/>
      <c r="H11" s="18" t="str">
        <f>+IF(E7=0,"Mensualisation :","Mensualisation (heures &lt; ou = à 45 hrs / sem) :")</f>
        <v>Mensualisation :</v>
      </c>
      <c r="I11" s="32">
        <f>+ROUND(E6*J6,2)</f>
        <v>0</v>
      </c>
    </row>
    <row r="12" spans="1:11" ht="13.5" thickBot="1" x14ac:dyDescent="0.25">
      <c r="B12" s="628"/>
      <c r="C12" s="630"/>
      <c r="D12" s="630"/>
      <c r="F12" s="33"/>
      <c r="H12" s="18" t="s">
        <v>134</v>
      </c>
      <c r="I12" s="32">
        <f>++IF('Bulletin simple'!AR33="NON",ROUND(J6*E7,2),ROUND(J6*E7*('Bulletin simple'!M15+1),2))</f>
        <v>0</v>
      </c>
    </row>
    <row r="13" spans="1:11" ht="15.75" customHeight="1" x14ac:dyDescent="0.2">
      <c r="A13" s="34"/>
      <c r="B13" s="35">
        <f>+'Bulletin simple'!AB20</f>
        <v>45658</v>
      </c>
      <c r="C13" s="169"/>
      <c r="D13" s="170"/>
    </row>
    <row r="14" spans="1:11" ht="15.75" customHeight="1" x14ac:dyDescent="0.2">
      <c r="A14" s="34"/>
      <c r="B14" s="35">
        <f>+'Bulletin simple'!AB21</f>
        <v>45659</v>
      </c>
      <c r="C14" s="169"/>
      <c r="D14" s="171"/>
      <c r="G14" s="36" t="s">
        <v>135</v>
      </c>
      <c r="H14" s="37" t="s">
        <v>136</v>
      </c>
    </row>
    <row r="15" spans="1:11" ht="15.75" customHeight="1" x14ac:dyDescent="0.2">
      <c r="A15" s="34"/>
      <c r="B15" s="35">
        <f>+'Bulletin simple'!AB22</f>
        <v>45660</v>
      </c>
      <c r="C15" s="169"/>
      <c r="D15" s="171"/>
      <c r="G15" s="17"/>
    </row>
    <row r="16" spans="1:11" ht="15.75" customHeight="1" x14ac:dyDescent="0.2">
      <c r="A16" s="34"/>
      <c r="B16" s="35">
        <f>+'Bulletin simple'!AB23</f>
        <v>45661</v>
      </c>
      <c r="C16" s="169"/>
      <c r="D16" s="171"/>
      <c r="G16" s="36" t="str">
        <f>+G14</f>
        <v xml:space="preserve">Retenue sur salaire = </v>
      </c>
      <c r="H16" s="16" t="str">
        <f>+I11&amp;" €  / "&amp;C45&amp;" hrs X "&amp;D45&amp;" hrs"</f>
        <v>0 €  / 0 hrs X 0 hrs</v>
      </c>
    </row>
    <row r="17" spans="1:10" ht="15.75" customHeight="1" x14ac:dyDescent="0.2">
      <c r="A17" s="34"/>
      <c r="B17" s="35">
        <f>+'Bulletin simple'!AB24</f>
        <v>45662</v>
      </c>
      <c r="C17" s="169"/>
      <c r="D17" s="171"/>
      <c r="G17" s="17"/>
    </row>
    <row r="18" spans="1:10" ht="15.75" customHeight="1" x14ac:dyDescent="0.2">
      <c r="A18" s="34"/>
      <c r="B18" s="35">
        <f>+'Bulletin simple'!AB25</f>
        <v>45663</v>
      </c>
      <c r="C18" s="169"/>
      <c r="D18" s="171"/>
      <c r="G18" s="36" t="str">
        <f>+G16</f>
        <v xml:space="preserve">Retenue sur salaire = </v>
      </c>
      <c r="H18" s="38">
        <f>+H26+H29</f>
        <v>0</v>
      </c>
    </row>
    <row r="19" spans="1:10" ht="15.75" customHeight="1" x14ac:dyDescent="0.2">
      <c r="A19" s="34"/>
      <c r="B19" s="35">
        <f>+'Bulletin simple'!AB26</f>
        <v>45664</v>
      </c>
      <c r="C19" s="169"/>
      <c r="D19" s="171"/>
    </row>
    <row r="20" spans="1:10" ht="15.75" customHeight="1" x14ac:dyDescent="0.2">
      <c r="A20" s="34"/>
      <c r="B20" s="35">
        <f>+'Bulletin simple'!AB27</f>
        <v>45665</v>
      </c>
      <c r="C20" s="169"/>
      <c r="D20" s="171"/>
      <c r="G20" s="36" t="s">
        <v>186</v>
      </c>
      <c r="H20" s="22">
        <f>+D45</f>
        <v>0</v>
      </c>
    </row>
    <row r="21" spans="1:10" ht="15.75" customHeight="1" x14ac:dyDescent="0.2">
      <c r="A21" s="34"/>
      <c r="B21" s="35">
        <f>+'Bulletin simple'!AB28</f>
        <v>45666</v>
      </c>
      <c r="C21" s="169"/>
      <c r="D21" s="171"/>
      <c r="G21" s="36" t="s">
        <v>187</v>
      </c>
      <c r="H21" s="16" t="str">
        <f>+H18&amp;" € / "&amp;ROUND(J6,4)&amp;" € = "&amp;I39&amp;" hrs"</f>
        <v>0 € / 0 € = 0 hrs</v>
      </c>
    </row>
    <row r="22" spans="1:10" ht="15.75" customHeight="1" x14ac:dyDescent="0.2">
      <c r="A22" s="34"/>
      <c r="B22" s="35">
        <f>+'Bulletin simple'!AB29</f>
        <v>45667</v>
      </c>
      <c r="C22" s="169"/>
      <c r="D22" s="171"/>
      <c r="G22" s="16" t="s">
        <v>137</v>
      </c>
    </row>
    <row r="23" spans="1:10" ht="15.75" customHeight="1" x14ac:dyDescent="0.2">
      <c r="A23" s="34"/>
      <c r="B23" s="35">
        <f>+'Bulletin simple'!AB30</f>
        <v>45668</v>
      </c>
      <c r="C23" s="169"/>
      <c r="D23" s="171"/>
      <c r="G23" s="18" t="str">
        <f>+D45&amp;"/"&amp;C45&amp;"="</f>
        <v>0/0=</v>
      </c>
      <c r="H23" s="39">
        <f>+IF(C45,IF(C45,D45/C45),0)</f>
        <v>0</v>
      </c>
    </row>
    <row r="24" spans="1:10" ht="15.75" customHeight="1" x14ac:dyDescent="0.2">
      <c r="A24" s="34"/>
      <c r="B24" s="35">
        <f>+'Bulletin simple'!AB31</f>
        <v>45669</v>
      </c>
      <c r="C24" s="169"/>
      <c r="D24" s="171"/>
    </row>
    <row r="25" spans="1:10" ht="15.75" customHeight="1" x14ac:dyDescent="0.2">
      <c r="A25" s="34"/>
      <c r="B25" s="35">
        <f>+'Bulletin simple'!AB32</f>
        <v>45670</v>
      </c>
      <c r="C25" s="169"/>
      <c r="D25" s="171"/>
      <c r="G25" s="183" t="s">
        <v>238</v>
      </c>
      <c r="H25" s="40"/>
      <c r="I25" s="40"/>
      <c r="J25" s="40"/>
    </row>
    <row r="26" spans="1:10" ht="15.75" customHeight="1" x14ac:dyDescent="0.2">
      <c r="A26" s="34"/>
      <c r="B26" s="35">
        <f>+'Bulletin simple'!AB33</f>
        <v>45671</v>
      </c>
      <c r="C26" s="169"/>
      <c r="D26" s="171"/>
      <c r="G26" s="18" t="str">
        <f>+I11&amp;" € x "&amp;ROUND(H23,4)&amp;" ="</f>
        <v>0 € x 0 =</v>
      </c>
      <c r="H26" s="38">
        <f>ROUND(I11*H23,2)</f>
        <v>0</v>
      </c>
    </row>
    <row r="27" spans="1:10" ht="15.75" customHeight="1" x14ac:dyDescent="0.2">
      <c r="A27" s="34"/>
      <c r="B27" s="35">
        <f>+'Bulletin simple'!AB34</f>
        <v>45672</v>
      </c>
      <c r="C27" s="169"/>
      <c r="D27" s="171"/>
    </row>
    <row r="28" spans="1:10" ht="15.75" customHeight="1" x14ac:dyDescent="0.2">
      <c r="A28" s="34"/>
      <c r="B28" s="35">
        <f>+'Bulletin simple'!AB35</f>
        <v>45673</v>
      </c>
      <c r="C28" s="169"/>
      <c r="D28" s="171"/>
      <c r="G28" s="41" t="s">
        <v>138</v>
      </c>
      <c r="H28" s="41"/>
      <c r="I28" s="41"/>
      <c r="J28" s="41"/>
    </row>
    <row r="29" spans="1:10" ht="15.75" customHeight="1" x14ac:dyDescent="0.2">
      <c r="A29" s="34"/>
      <c r="B29" s="35">
        <f>+'Bulletin simple'!AB36</f>
        <v>45674</v>
      </c>
      <c r="C29" s="169"/>
      <c r="D29" s="171"/>
      <c r="F29" s="43"/>
      <c r="G29" s="18" t="str">
        <f>+I12&amp;" € x "&amp;ROUND(H23,4)&amp;" ="</f>
        <v>0 € x 0 =</v>
      </c>
      <c r="H29" s="42">
        <f>+ROUND(I12*H23,2)</f>
        <v>0</v>
      </c>
    </row>
    <row r="30" spans="1:10" ht="15.75" customHeight="1" x14ac:dyDescent="0.2">
      <c r="A30" s="34"/>
      <c r="B30" s="35">
        <f>+'Bulletin simple'!AB37</f>
        <v>45675</v>
      </c>
      <c r="C30" s="169"/>
      <c r="D30" s="171"/>
      <c r="F30" s="43"/>
      <c r="G30" s="43"/>
      <c r="H30" s="43"/>
      <c r="I30" s="43"/>
      <c r="J30" s="43"/>
    </row>
    <row r="31" spans="1:10" ht="15.75" customHeight="1" x14ac:dyDescent="0.2">
      <c r="A31" s="34"/>
      <c r="B31" s="35">
        <f>+'Bulletin simple'!AB38</f>
        <v>45676</v>
      </c>
      <c r="C31" s="169"/>
      <c r="D31" s="171"/>
      <c r="F31" s="43"/>
      <c r="G31" s="44" t="s">
        <v>139</v>
      </c>
      <c r="H31" s="45"/>
      <c r="I31" s="45"/>
      <c r="J31" s="46"/>
    </row>
    <row r="32" spans="1:10" ht="15.75" customHeight="1" x14ac:dyDescent="0.2">
      <c r="A32" s="34"/>
      <c r="B32" s="35">
        <f>+'Bulletin simple'!AB39</f>
        <v>45677</v>
      </c>
      <c r="C32" s="169"/>
      <c r="D32" s="171"/>
      <c r="F32" s="43"/>
      <c r="G32" s="47"/>
      <c r="H32" s="48" t="str">
        <f>+E7&amp;" / ( "&amp;E6&amp;" + "&amp;E7&amp;" ) ="</f>
        <v>0 / ( 0 + 0 ) =</v>
      </c>
      <c r="I32" s="47">
        <f>+ROUND(IF(OR(E6,E7),E7/(E7+E6)),6)</f>
        <v>0</v>
      </c>
      <c r="J32" s="43"/>
    </row>
    <row r="33" spans="1:11" ht="15.75" customHeight="1" x14ac:dyDescent="0.2">
      <c r="A33" s="34"/>
      <c r="B33" s="35">
        <f>+'Bulletin simple'!AB40</f>
        <v>45678</v>
      </c>
      <c r="C33" s="169"/>
      <c r="D33" s="171"/>
      <c r="F33" s="43"/>
      <c r="G33" s="49"/>
      <c r="H33" s="49"/>
      <c r="I33" s="49"/>
      <c r="J33" s="43"/>
    </row>
    <row r="34" spans="1:11" ht="15.75" customHeight="1" x14ac:dyDescent="0.2">
      <c r="A34" s="34"/>
      <c r="B34" s="35">
        <f>+'Bulletin simple'!AB41</f>
        <v>45679</v>
      </c>
      <c r="C34" s="169"/>
      <c r="D34" s="171"/>
      <c r="F34" s="43"/>
      <c r="G34" s="50" t="s">
        <v>239</v>
      </c>
      <c r="H34" s="50"/>
      <c r="I34" s="50"/>
      <c r="J34" s="51"/>
    </row>
    <row r="35" spans="1:11" ht="15.75" customHeight="1" x14ac:dyDescent="0.2">
      <c r="A35" s="34"/>
      <c r="B35" s="35">
        <f>+'Bulletin simple'!AB42</f>
        <v>45680</v>
      </c>
      <c r="C35" s="169"/>
      <c r="D35" s="171"/>
      <c r="F35" s="43"/>
      <c r="G35" s="47"/>
      <c r="H35" s="48" t="str">
        <f>+E6&amp;" / ( "&amp;E6&amp;" + "&amp;E7&amp;" ) ="</f>
        <v>0 / ( 0 + 0 ) =</v>
      </c>
      <c r="I35" s="47">
        <f>ROUND(IF(OR(E6,E7),+E6/(E7+E6)),6)</f>
        <v>0</v>
      </c>
      <c r="J35" s="43"/>
    </row>
    <row r="36" spans="1:11" ht="15.75" customHeight="1" x14ac:dyDescent="0.2">
      <c r="A36" s="34"/>
      <c r="B36" s="35">
        <f>+'Bulletin simple'!AB43</f>
        <v>45681</v>
      </c>
      <c r="C36" s="169"/>
      <c r="D36" s="171"/>
      <c r="F36" s="43"/>
    </row>
    <row r="37" spans="1:11" ht="15.75" customHeight="1" x14ac:dyDescent="0.2">
      <c r="A37" s="34"/>
      <c r="B37" s="35">
        <f>+'Bulletin simple'!AB44</f>
        <v>45682</v>
      </c>
      <c r="C37" s="169"/>
      <c r="D37" s="171"/>
      <c r="F37" s="43"/>
      <c r="G37" s="183" t="s">
        <v>240</v>
      </c>
      <c r="H37" s="51"/>
      <c r="I37" s="51"/>
      <c r="J37" s="40"/>
    </row>
    <row r="38" spans="1:11" ht="15.75" customHeight="1" x14ac:dyDescent="0.2">
      <c r="A38" s="34"/>
      <c r="B38" s="35">
        <f>+'Bulletin simple'!AB45</f>
        <v>45683</v>
      </c>
      <c r="C38" s="169"/>
      <c r="D38" s="171"/>
      <c r="F38" s="43"/>
      <c r="H38" s="18" t="str">
        <f>+D45&amp;" hrs x "&amp;I35&amp;" ="</f>
        <v>0 hrs x 0 =</v>
      </c>
      <c r="I38" s="52">
        <f>+ROUND(D45*I35,2)</f>
        <v>0</v>
      </c>
      <c r="J38" s="16" t="s">
        <v>181</v>
      </c>
    </row>
    <row r="39" spans="1:11" ht="15.75" customHeight="1" x14ac:dyDescent="0.2">
      <c r="A39" s="34"/>
      <c r="B39" s="35">
        <f>+'Bulletin simple'!AB46</f>
        <v>45684</v>
      </c>
      <c r="C39" s="169"/>
      <c r="D39" s="171"/>
      <c r="F39" s="43"/>
      <c r="G39" s="43"/>
      <c r="H39" s="21" t="str">
        <f>+E6&amp;" hrs / "&amp;C45&amp;" hrs X "&amp;D45&amp;" hrs ="</f>
        <v>0 hrs / 0 hrs X 0 hrs =</v>
      </c>
      <c r="I39" s="52">
        <f>+ROUND(IF(C45,E6/C45*D45),2)</f>
        <v>0</v>
      </c>
      <c r="J39" s="20" t="s">
        <v>182</v>
      </c>
    </row>
    <row r="40" spans="1:11" ht="15.75" customHeight="1" x14ac:dyDescent="0.2">
      <c r="A40" s="34"/>
      <c r="B40" s="35">
        <f>+'Bulletin simple'!AB47</f>
        <v>45685</v>
      </c>
      <c r="C40" s="169"/>
      <c r="D40" s="171"/>
      <c r="F40" s="43"/>
    </row>
    <row r="41" spans="1:11" ht="15.75" customHeight="1" x14ac:dyDescent="0.2">
      <c r="A41" s="34"/>
      <c r="B41" s="35">
        <f>+'Bulletin simple'!AB48</f>
        <v>45686</v>
      </c>
      <c r="C41" s="169"/>
      <c r="D41" s="171"/>
      <c r="F41" s="43"/>
    </row>
    <row r="42" spans="1:11" ht="15.75" customHeight="1" x14ac:dyDescent="0.2">
      <c r="A42" s="34"/>
      <c r="B42" s="35">
        <f>+'Bulletin simple'!AB49</f>
        <v>45687</v>
      </c>
      <c r="C42" s="169"/>
      <c r="D42" s="171"/>
      <c r="F42" s="43"/>
      <c r="G42" s="41" t="s">
        <v>140</v>
      </c>
      <c r="H42" s="46"/>
      <c r="I42" s="46"/>
      <c r="J42" s="46"/>
    </row>
    <row r="43" spans="1:11" ht="15.75" customHeight="1" thickBot="1" x14ac:dyDescent="0.25">
      <c r="A43" s="34"/>
      <c r="B43" s="35">
        <f>+'Bulletin simple'!AB50</f>
        <v>45688</v>
      </c>
      <c r="C43" s="172"/>
      <c r="D43" s="173"/>
      <c r="F43" s="34"/>
      <c r="H43" s="18" t="str">
        <f>+D45&amp;" hrs x "&amp;I32&amp;" ="</f>
        <v>0 hrs x 0 =</v>
      </c>
      <c r="I43" s="52">
        <f>+ROUND(D45*I32,2)</f>
        <v>0</v>
      </c>
      <c r="J43" s="16" t="s">
        <v>181</v>
      </c>
    </row>
    <row r="44" spans="1:11" ht="13.5" thickBot="1" x14ac:dyDescent="0.25">
      <c r="G44" s="34"/>
      <c r="H44" s="21" t="str">
        <f>+E7&amp;" hrs / "&amp;C45&amp;" hrs X "&amp;D45&amp;" hrs ="</f>
        <v>0 hrs / 0 hrs X 0 hrs =</v>
      </c>
      <c r="I44" s="52">
        <f>+ROUND(IF(C45,E7/C45*D45),2)</f>
        <v>0</v>
      </c>
      <c r="J44" s="20" t="s">
        <v>182</v>
      </c>
      <c r="K44" s="34"/>
    </row>
    <row r="45" spans="1:11" ht="13.5" thickBot="1" x14ac:dyDescent="0.25">
      <c r="B45" s="54" t="s">
        <v>141</v>
      </c>
      <c r="C45" s="55">
        <f>SUM(C13:C43)</f>
        <v>0</v>
      </c>
      <c r="D45" s="55">
        <f>SUM(D13:D43)</f>
        <v>0</v>
      </c>
      <c r="E45" s="21"/>
      <c r="F45" s="34"/>
      <c r="G45" s="34"/>
      <c r="H45" s="34"/>
      <c r="I45" s="25"/>
      <c r="J45" s="53"/>
    </row>
    <row r="46" spans="1:11" x14ac:dyDescent="0.2">
      <c r="B46" s="34"/>
      <c r="C46" s="34"/>
      <c r="D46" s="25"/>
      <c r="E46" s="34">
        <v>31</v>
      </c>
      <c r="G46" s="34"/>
      <c r="H46" s="34"/>
      <c r="I46" s="34"/>
      <c r="J46" s="34"/>
      <c r="K46" s="34"/>
    </row>
    <row r="47" spans="1:11" x14ac:dyDescent="0.2">
      <c r="B47" s="34"/>
      <c r="C47" s="34"/>
      <c r="D47" s="25" t="s">
        <v>142</v>
      </c>
      <c r="E47" s="34">
        <v>0</v>
      </c>
      <c r="G47" s="34"/>
      <c r="H47" s="34"/>
      <c r="I47" s="34"/>
      <c r="J47" s="25"/>
      <c r="K47" s="56"/>
    </row>
    <row r="48" spans="1:11" x14ac:dyDescent="0.2">
      <c r="G48" s="34"/>
      <c r="H48" s="34"/>
      <c r="I48" s="34"/>
      <c r="J48" s="34"/>
      <c r="K48" s="34"/>
    </row>
    <row r="49" spans="7:11" x14ac:dyDescent="0.2">
      <c r="G49" s="34"/>
      <c r="H49" s="34"/>
      <c r="I49" s="34"/>
      <c r="J49" s="25"/>
      <c r="K49" s="57"/>
    </row>
    <row r="50" spans="7:11" x14ac:dyDescent="0.2">
      <c r="I50" s="43"/>
      <c r="J50" s="43"/>
      <c r="K50" s="43"/>
    </row>
    <row r="52" spans="7:11" x14ac:dyDescent="0.2">
      <c r="G52" s="58"/>
    </row>
  </sheetData>
  <sheetProtection algorithmName="SHA-512" hashValue="oSOLg1jZ2Qbfvby44XdINtebuOL8G4rFHh1lr3UO1ogeP5nSE8KlPoRhSA6ydlohMl/movX71GM9DsCjNE9w7w==" saltValue="C2x/+LP3HBANHRVYw0D3IQ==" spinCount="100000" sheet="1" objects="1" scenarios="1" formatCells="0" formatColumns="0" formatRows="0" insertColumns="0" insertRows="0" insertHyperlinks="0" sort="0" autoFilter="0" pivotTables="0"/>
  <mergeCells count="4">
    <mergeCell ref="D4:E4"/>
    <mergeCell ref="B11:B12"/>
    <mergeCell ref="C11:C12"/>
    <mergeCell ref="D11:D12"/>
  </mergeCells>
  <conditionalFormatting sqref="C13:D43">
    <cfRule type="notContainsBlanks" dxfId="83" priority="1">
      <formula>LEN(TRIM(C13))&gt;0</formula>
    </cfRule>
  </conditionalFormatting>
  <conditionalFormatting sqref="E14:F18">
    <cfRule type="expression" dxfId="82" priority="16">
      <formula>$E$7&gt;0</formula>
    </cfRule>
  </conditionalFormatting>
  <conditionalFormatting sqref="G14:J21">
    <cfRule type="expression" dxfId="81" priority="9">
      <formula>$E$7&gt;0</formula>
    </cfRule>
  </conditionalFormatting>
  <conditionalFormatting sqref="G22:J44">
    <cfRule type="expression" dxfId="80" priority="11">
      <formula>$E$7=0</formula>
    </cfRule>
  </conditionalFormatting>
  <conditionalFormatting sqref="H12">
    <cfRule type="expression" dxfId="79" priority="18">
      <formula>$E$7=0</formula>
    </cfRule>
  </conditionalFormatting>
  <conditionalFormatting sqref="I12">
    <cfRule type="cellIs" dxfId="78" priority="10" operator="equal">
      <formula>0</formula>
    </cfRule>
  </conditionalFormatting>
  <conditionalFormatting sqref="I38:I39">
    <cfRule type="expression" dxfId="77" priority="6">
      <formula>$K$3="Méthode 1"</formula>
    </cfRule>
  </conditionalFormatting>
  <conditionalFormatting sqref="I43:I44">
    <cfRule type="expression" dxfId="76" priority="5">
      <formula>$K$3="Méthode 1"</formula>
    </cfRule>
  </conditionalFormatting>
  <conditionalFormatting sqref="I44">
    <cfRule type="expression" dxfId="75" priority="3">
      <formula>$E$7=0</formula>
    </cfRule>
  </conditionalFormatting>
  <pageMargins left="0.7" right="0.7" top="0.75" bottom="0.75" header="0.3" footer="0.3"/>
  <pageSetup paperSize="9" scale="73" fitToHeight="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18A47-4823-441F-9FBB-3982C79F6364}">
  <sheetPr>
    <tabColor theme="5" tint="-0.249977111117893"/>
  </sheetPr>
  <dimension ref="A1:AC57"/>
  <sheetViews>
    <sheetView showGridLines="0" zoomScaleNormal="100" workbookViewId="0">
      <selection activeCell="F16" sqref="F16"/>
    </sheetView>
  </sheetViews>
  <sheetFormatPr baseColWidth="10" defaultColWidth="11.42578125" defaultRowHeight="15" x14ac:dyDescent="0.25"/>
  <cols>
    <col min="1" max="1" width="58.28515625" style="13" customWidth="1"/>
    <col min="2" max="2" width="22.7109375" style="13" customWidth="1"/>
    <col min="3" max="6" width="11.42578125" style="13"/>
    <col min="7" max="7" width="15.7109375" style="13" customWidth="1"/>
    <col min="8" max="8" width="11.42578125" style="13"/>
    <col min="9" max="9" width="11" style="13" customWidth="1"/>
    <col min="10" max="26" width="11.42578125" style="13"/>
    <col min="27" max="32" width="0" style="13" hidden="1" customWidth="1"/>
    <col min="33" max="16384" width="11.42578125" style="13"/>
  </cols>
  <sheetData>
    <row r="1" spans="1:29" ht="18" x14ac:dyDescent="0.25">
      <c r="A1" s="59" t="s">
        <v>144</v>
      </c>
      <c r="B1" s="60"/>
    </row>
    <row r="2" spans="1:29" x14ac:dyDescent="0.25">
      <c r="A2" s="15"/>
    </row>
    <row r="3" spans="1:29" x14ac:dyDescent="0.25">
      <c r="A3" s="15" t="str">
        <f>+"ENFANT : "&amp;'Bulletin simple'!AI3</f>
        <v xml:space="preserve">ENFANT : </v>
      </c>
    </row>
    <row r="5" spans="1:29" ht="18" x14ac:dyDescent="0.25">
      <c r="A5" s="61" t="s">
        <v>145</v>
      </c>
      <c r="B5" s="185">
        <f>+'Bulletin simple'!X3</f>
        <v>45658</v>
      </c>
    </row>
    <row r="6" spans="1:29" x14ac:dyDescent="0.25">
      <c r="A6" s="15"/>
    </row>
    <row r="7" spans="1:29" ht="15.75" x14ac:dyDescent="0.25">
      <c r="A7" s="184" t="str">
        <f>+"Période du "&amp;TEXT('Bulletin simple'!X5,"jj/mm/aaaa")&amp;" au "&amp;TEXT('Bulletin simple'!AB5,"jj/mm/aaaa")</f>
        <v>Période du 01/01/2025 au 31/01/2025</v>
      </c>
    </row>
    <row r="8" spans="1:29" x14ac:dyDescent="0.25">
      <c r="A8" s="15"/>
    </row>
    <row r="9" spans="1:29" x14ac:dyDescent="0.25">
      <c r="A9" s="15" t="s">
        <v>146</v>
      </c>
      <c r="B9" s="62">
        <f>+EOMONTH('Bulletin simple'!X3,0)</f>
        <v>45688</v>
      </c>
      <c r="AB9" s="63" t="s">
        <v>178</v>
      </c>
      <c r="AC9" s="13">
        <f>+ROUNDUP(('Déclaration Pajemploi'!H13*'Déclaration Pajemploi'!H14/12),0)</f>
        <v>0</v>
      </c>
    </row>
    <row r="10" spans="1:29" x14ac:dyDescent="0.25">
      <c r="A10" s="15"/>
      <c r="B10" s="63"/>
      <c r="AB10" s="63" t="s">
        <v>179</v>
      </c>
      <c r="AC10" s="13" t="e">
        <f>+H15/H14</f>
        <v>#DIV/0!</v>
      </c>
    </row>
    <row r="11" spans="1:29" x14ac:dyDescent="0.25">
      <c r="A11" s="15" t="s">
        <v>147</v>
      </c>
      <c r="B11" s="64" t="e">
        <f>+('Bulletin simple'!T19+'Bulletin simple'!T24+'Bulletin simple'!T26+'Bulletin simple'!T27+'Bulletin simple'!T28+'Bulletin simple'!T29)/'Bulletin simple'!AL14</f>
        <v>#DIV/0!</v>
      </c>
    </row>
    <row r="12" spans="1:29" x14ac:dyDescent="0.25">
      <c r="A12" s="160" t="str">
        <f>"Détail du calcul : ("&amp;ROUND('Bulletin simple'!T19,2)&amp;" € + "&amp;ROUND('Bulletin simple'!T24,2)&amp;" € + "&amp;ROUND('Bulletin simple'!T26,2)&amp;" € + "&amp;ROUND('Bulletin simple'!T27,2)&amp;" € + "&amp;ROUND('Bulletin simple'!T28,2)&amp;" € + "&amp;ROUND('Bulletin simple'!T29,2)&amp;" €) / "&amp;ROUND('Bulletin simple'!AL14,4)&amp;" €"</f>
        <v>Détail du calcul : (0 € + 0 € + 0 € + 0 € + 0 € + 0 €) / 0 €</v>
      </c>
      <c r="B12" s="74"/>
      <c r="D12" s="121"/>
      <c r="E12" s="121"/>
      <c r="J12" s="121"/>
      <c r="K12" s="121"/>
      <c r="L12" s="121"/>
      <c r="M12" s="121"/>
    </row>
    <row r="13" spans="1:29" x14ac:dyDescent="0.25">
      <c r="A13" s="160"/>
      <c r="B13" s="74"/>
      <c r="D13" s="121"/>
      <c r="E13" s="121"/>
      <c r="F13" s="121"/>
      <c r="G13" s="122" t="s">
        <v>148</v>
      </c>
      <c r="H13" s="174"/>
      <c r="I13" s="121" t="s">
        <v>149</v>
      </c>
      <c r="J13" s="121"/>
      <c r="K13" s="121"/>
      <c r="L13" s="121"/>
      <c r="M13" s="121"/>
    </row>
    <row r="14" spans="1:29" x14ac:dyDescent="0.25">
      <c r="A14" s="15" t="s">
        <v>150</v>
      </c>
      <c r="B14" s="74">
        <f>+IF('Bulletin simple'!AR14="OUI",COUNT('Bulletin simple'!AD20:AF50),ROUNDUP(('Déclaration Pajemploi'!H13*'Déclaration Pajemploi'!H14/12)-H20+H26,0))</f>
        <v>0</v>
      </c>
      <c r="D14" s="121"/>
      <c r="E14" s="121"/>
      <c r="F14" s="121"/>
      <c r="G14" s="122" t="s">
        <v>241</v>
      </c>
      <c r="H14" s="174"/>
      <c r="I14" s="121" t="s">
        <v>151</v>
      </c>
      <c r="J14" s="121"/>
      <c r="K14" s="121"/>
      <c r="L14" s="121"/>
      <c r="M14" s="121"/>
    </row>
    <row r="15" spans="1:29" x14ac:dyDescent="0.25">
      <c r="A15" s="15"/>
      <c r="B15" s="74"/>
      <c r="G15" s="122" t="s">
        <v>173</v>
      </c>
      <c r="H15" s="174"/>
      <c r="I15" s="121" t="s">
        <v>174</v>
      </c>
    </row>
    <row r="16" spans="1:29" x14ac:dyDescent="0.25">
      <c r="A16" s="15" t="s">
        <v>153</v>
      </c>
      <c r="B16" s="128">
        <f>+H33</f>
        <v>0</v>
      </c>
      <c r="D16" s="121"/>
      <c r="E16" s="121"/>
      <c r="F16" s="121"/>
      <c r="G16" s="121"/>
      <c r="H16" s="121"/>
      <c r="I16" s="121"/>
      <c r="J16" s="121"/>
      <c r="K16" s="123" t="str">
        <f>+"Nbre de jours d'activités mensuels = Nbre jrs/sem (soit "&amp;H14&amp;" jrs) X Nbre de sem/année (soit "&amp;H13&amp;" sem) / 12 = "&amp;AC9&amp;" jrs"</f>
        <v>Nbre de jours d'activités mensuels = Nbre jrs/sem (soit  jrs) X Nbre de sem/année (soit  sem) / 12 = 0 jrs</v>
      </c>
      <c r="L16" s="121"/>
      <c r="M16" s="121"/>
    </row>
    <row r="17" spans="1:13" x14ac:dyDescent="0.25">
      <c r="A17" s="15"/>
      <c r="B17" s="74"/>
      <c r="D17" s="121"/>
      <c r="E17" s="121"/>
      <c r="F17" s="121"/>
      <c r="G17" s="121"/>
      <c r="H17" s="121"/>
      <c r="I17" s="121"/>
      <c r="J17" s="121"/>
      <c r="K17" s="121"/>
      <c r="L17" s="121"/>
      <c r="M17" s="121"/>
    </row>
    <row r="18" spans="1:13" x14ac:dyDescent="0.25">
      <c r="A18" s="15" t="s">
        <v>218</v>
      </c>
      <c r="B18" s="76" t="e">
        <f>+IF(OR(B22&gt;0,B25&gt;0),"OUI","NON")</f>
        <v>#DIV/0!</v>
      </c>
      <c r="D18" s="121"/>
      <c r="E18" s="121"/>
      <c r="F18" s="121"/>
      <c r="G18" s="121"/>
      <c r="H18" s="121"/>
      <c r="I18" s="121"/>
      <c r="J18" s="121"/>
      <c r="K18" s="121"/>
      <c r="L18" s="121"/>
      <c r="M18" s="121"/>
    </row>
    <row r="19" spans="1:13" x14ac:dyDescent="0.25">
      <c r="A19" s="15"/>
      <c r="B19" s="74"/>
      <c r="D19" s="121"/>
      <c r="E19" s="121"/>
      <c r="F19" s="121"/>
      <c r="G19" s="121"/>
      <c r="H19" s="121"/>
      <c r="I19" s="121"/>
      <c r="J19" s="121"/>
      <c r="K19" s="121"/>
      <c r="L19" s="121"/>
      <c r="M19" s="121"/>
    </row>
    <row r="20" spans="1:13" x14ac:dyDescent="0.25">
      <c r="A20" s="15" t="s">
        <v>154</v>
      </c>
      <c r="B20" s="65">
        <f>+'Bulletin simple'!AL15</f>
        <v>0</v>
      </c>
      <c r="D20" s="121"/>
      <c r="E20" s="121"/>
      <c r="F20" s="121"/>
      <c r="G20" s="122" t="s">
        <v>152</v>
      </c>
      <c r="H20" s="124">
        <f>+IFERROR(IF(H21="",+ROUNDDOWN(AC9*'Retenue sur salaire'!D45/'Retenue sur salaire'!C45,0),H21),0)</f>
        <v>0</v>
      </c>
      <c r="I20" s="121" t="s">
        <v>151</v>
      </c>
      <c r="J20" s="121"/>
      <c r="K20" s="121"/>
      <c r="L20" s="121"/>
      <c r="M20" s="121"/>
    </row>
    <row r="21" spans="1:13" x14ac:dyDescent="0.25">
      <c r="A21" s="15"/>
      <c r="B21" s="74"/>
      <c r="D21" s="121"/>
      <c r="E21" s="121"/>
      <c r="F21" s="121"/>
      <c r="G21" s="122" t="s">
        <v>175</v>
      </c>
      <c r="H21" s="174"/>
      <c r="I21" s="121"/>
      <c r="J21" s="121"/>
      <c r="K21" s="121"/>
      <c r="L21" s="121"/>
      <c r="M21" s="121"/>
    </row>
    <row r="22" spans="1:13" x14ac:dyDescent="0.25">
      <c r="A22" s="15" t="s">
        <v>155</v>
      </c>
      <c r="B22" s="159" t="e">
        <f>IF(AND(ROUNDUP(('Bulletin simple'!T20+'Bulletin simple'!T21+'Bulletin simple'!T23+'Bulletin simple'!T25)/('Bulletin simple'!AL14*(1+'Bulletin simple'!M15)),2)&gt;0,ROUNDUP(('Bulletin simple'!T20+'Bulletin simple'!T21+'Bulletin simple'!T23+'Bulletin simple'!T25)/('Bulletin simple'!AL14*(1+'Bulletin simple'!M15)),2)&lt;=1),ROUNDUP(('Bulletin simple'!T20+'Bulletin simple'!T21+'Bulletin simple'!T23+'Bulletin simple'!T25)/('Bulletin simple'!AL14*(1+'Bulletin simple'!M15)),0),ROUNDDOWN(('Bulletin simple'!T20+'Bulletin simple'!T21+'Bulletin simple'!T23+'Bulletin simple'!T25)/('Bulletin simple'!AL14*(1+'Bulletin simple'!M15)),0))</f>
        <v>#DIV/0!</v>
      </c>
      <c r="D22" s="121"/>
      <c r="E22" s="121"/>
      <c r="F22" s="121"/>
      <c r="G22" s="121"/>
      <c r="H22" s="121"/>
      <c r="I22" s="121"/>
      <c r="J22" s="121"/>
      <c r="K22" s="121"/>
      <c r="L22" s="121"/>
      <c r="M22" s="123" t="str">
        <f>IF(H21="",+"Nbre de jrs à déduire = Nbre de jrs d'act. Mensuels (soit "&amp;AC9&amp;" jrs) X Nbre de jrs d'absence (soit "&amp;'Retenue sur salaire'!D46&amp;" jrs) / Nbre de jrs potentiels (soit "&amp;'Retenue sur salaire'!C46&amp;" jrs) = "&amp;H20&amp;" jrs","")</f>
        <v>Nbre de jrs à déduire = Nbre de jrs d'act. Mensuels (soit 0 jrs) X Nbre de jrs d'absence (soit  jrs) / Nbre de jrs potentiels (soit  jrs) = 0 jrs</v>
      </c>
    </row>
    <row r="23" spans="1:13" x14ac:dyDescent="0.25">
      <c r="A23" s="160" t="str">
        <f>"Détail du calcul : ("&amp;ROUND('Bulletin simple'!T20,2)&amp;" € + "&amp;ROUND('Bulletin simple'!T21,2)&amp;" € + "&amp;ROUND('Bulletin simple'!T23,2)&amp;" € - "&amp;ROUND('Bulletin simple'!T25*-1,2)&amp;" €) / "&amp;ROUND('Bulletin simple'!AL14*(1+'Bulletin simple'!M15),4)&amp;" €"</f>
        <v>Détail du calcul : (0 € + 0 € + 0 € - 0 €) / 0 €</v>
      </c>
      <c r="B23" s="74"/>
      <c r="C23" s="158"/>
      <c r="D23" s="121"/>
      <c r="E23" s="121"/>
      <c r="F23" s="121"/>
      <c r="G23" s="121"/>
      <c r="H23" s="121"/>
      <c r="I23" s="121"/>
      <c r="J23" s="121"/>
      <c r="K23" s="121"/>
      <c r="L23" s="121"/>
      <c r="M23" s="121"/>
    </row>
    <row r="24" spans="1:13" x14ac:dyDescent="0.25">
      <c r="A24" s="160"/>
      <c r="B24" s="74"/>
      <c r="C24" s="158"/>
      <c r="D24" s="121"/>
      <c r="E24" s="121"/>
      <c r="F24" s="121"/>
      <c r="G24" s="121"/>
      <c r="H24" s="121"/>
      <c r="I24" s="121"/>
      <c r="J24" s="121"/>
      <c r="K24" s="121"/>
      <c r="L24" s="121"/>
      <c r="M24" s="121"/>
    </row>
    <row r="25" spans="1:13" x14ac:dyDescent="0.25">
      <c r="A25" s="15" t="s">
        <v>156</v>
      </c>
      <c r="B25" s="74">
        <f>+'Bulletin simple'!L22</f>
        <v>0</v>
      </c>
      <c r="D25" s="121"/>
      <c r="E25" s="121"/>
      <c r="F25" s="121"/>
      <c r="G25" s="121"/>
      <c r="H25" s="121"/>
      <c r="I25" s="121"/>
      <c r="J25" s="121"/>
      <c r="K25" s="121"/>
      <c r="L25" s="121"/>
      <c r="M25" s="121"/>
    </row>
    <row r="26" spans="1:13" x14ac:dyDescent="0.25">
      <c r="A26" s="15"/>
      <c r="B26" s="74"/>
      <c r="D26" s="121"/>
      <c r="E26" s="121"/>
      <c r="F26" s="121"/>
      <c r="G26" s="122" t="s">
        <v>176</v>
      </c>
      <c r="H26" s="124">
        <f>IFERROR(+IF(H27="",ROUNDUP(+('Bulletin simple'!T29+'Bulletin simple'!T26)/'Bulletin simple'!AL14/'Déclaration Pajemploi'!AC10,0),H27),0)</f>
        <v>0</v>
      </c>
      <c r="I26" s="121" t="s">
        <v>151</v>
      </c>
      <c r="J26" s="121"/>
      <c r="K26" s="121"/>
      <c r="L26" s="121"/>
      <c r="M26" s="121"/>
    </row>
    <row r="27" spans="1:13" x14ac:dyDescent="0.25">
      <c r="A27" s="66" t="s">
        <v>157</v>
      </c>
      <c r="B27" s="67">
        <f>+'Bulletin simple'!N59-(('Bulletin simple'!T32+'Bulletin simple'!T30+'Bulletin simple'!T31)*'Bulletin simple'!AR11)+'Bulletin simple'!N57</f>
        <v>0</v>
      </c>
      <c r="D27" s="121"/>
      <c r="E27" s="121"/>
      <c r="F27" s="121"/>
      <c r="G27" s="122" t="s">
        <v>175</v>
      </c>
      <c r="H27" s="174"/>
      <c r="I27" s="121"/>
      <c r="J27" s="121"/>
      <c r="K27" s="121"/>
      <c r="L27" s="121"/>
      <c r="M27" s="121"/>
    </row>
    <row r="28" spans="1:13" x14ac:dyDescent="0.25">
      <c r="A28" s="15"/>
      <c r="B28" s="74"/>
      <c r="D28" s="121"/>
      <c r="E28" s="121"/>
      <c r="F28" s="121"/>
      <c r="G28" s="121"/>
      <c r="I28" s="121"/>
      <c r="J28" s="121"/>
      <c r="K28" s="121"/>
      <c r="L28" s="121"/>
      <c r="M28" s="123" t="str">
        <f>IF(H27="",+"Nbre jrs à rajouter = salaire régularisation et autres (soit "&amp;'Bulletin simple'!T28+'Bulletin simple'!T26&amp;" €) / taux horaire brut (soit "&amp;'Bulletin simple'!AL14&amp;" € ) / horaires sem. moyen (soit "&amp;H15&amp;" hrs / "&amp;H14&amp;" jrs) = "&amp;H26&amp;" jrs","")</f>
        <v>Nbre jrs à rajouter = salaire régularisation et autres (soit 0 €) / taux horaire brut (soit  € ) / horaires sem. moyen (soit  hrs /  jrs) = 0 jrs</v>
      </c>
    </row>
    <row r="29" spans="1:13" x14ac:dyDescent="0.25">
      <c r="A29" s="15" t="s">
        <v>158</v>
      </c>
      <c r="B29" s="65">
        <f>+'Bulletin simple'!N62+'Bulletin simple'!N63</f>
        <v>0</v>
      </c>
      <c r="D29" s="121"/>
      <c r="E29" s="121"/>
      <c r="F29" s="121"/>
      <c r="G29" s="121"/>
      <c r="H29" s="121"/>
      <c r="I29" s="121"/>
      <c r="J29" s="121"/>
      <c r="K29" s="121"/>
      <c r="L29" s="121"/>
      <c r="M29" s="121"/>
    </row>
    <row r="30" spans="1:13" x14ac:dyDescent="0.25">
      <c r="A30" s="15"/>
      <c r="B30" s="74"/>
      <c r="D30" s="121"/>
      <c r="E30" s="121"/>
      <c r="F30" s="125" t="str">
        <f>+" Total des jours d'activité pour ce mois = "&amp;AC9&amp;" jrs - "&amp;H20&amp;" jrs + "&amp;H26&amp;" jrs = "&amp;AC9-H20+H26&amp;" jrs"</f>
        <v xml:space="preserve"> Total des jours d'activité pour ce mois = 0 jrs - 0 jrs + 0 jrs = 0 jrs</v>
      </c>
      <c r="G30" s="126"/>
      <c r="H30" s="125"/>
      <c r="I30" s="125"/>
      <c r="J30" s="125"/>
      <c r="K30" s="121"/>
      <c r="L30" s="121"/>
      <c r="M30" s="121"/>
    </row>
    <row r="31" spans="1:13" x14ac:dyDescent="0.25">
      <c r="A31" s="15" t="s">
        <v>159</v>
      </c>
      <c r="B31" s="65">
        <f>+'Bulletin simple'!N64+'Bulletin simple'!N65</f>
        <v>0</v>
      </c>
      <c r="D31" s="121"/>
      <c r="E31" s="121"/>
      <c r="F31" s="121"/>
      <c r="G31" s="121"/>
      <c r="H31" s="121"/>
      <c r="I31" s="121"/>
      <c r="J31" s="121"/>
      <c r="K31" s="121"/>
      <c r="L31" s="121"/>
      <c r="M31" s="121"/>
    </row>
    <row r="32" spans="1:13" x14ac:dyDescent="0.25">
      <c r="A32" s="15"/>
      <c r="B32" s="74"/>
      <c r="D32" s="121"/>
      <c r="E32" s="121"/>
      <c r="F32" s="121"/>
      <c r="G32" s="121"/>
      <c r="H32" s="121"/>
      <c r="I32" s="121"/>
      <c r="J32" s="121"/>
      <c r="K32" s="121"/>
      <c r="L32" s="121"/>
      <c r="M32" s="121"/>
    </row>
    <row r="33" spans="1:13" x14ac:dyDescent="0.25">
      <c r="A33" s="15" t="s">
        <v>160</v>
      </c>
      <c r="B33" s="65">
        <f>+'Bulletin simple'!N66+'Bulletin simple'!N67</f>
        <v>0</v>
      </c>
      <c r="D33" s="121"/>
      <c r="E33" s="121"/>
      <c r="F33" s="121"/>
      <c r="G33" s="122" t="s">
        <v>177</v>
      </c>
      <c r="H33" s="127">
        <f>IFERROR(IF(H34="",ROUNDUP((+('Bulletin simple'!T27+'Bulletin simple'!T28)/'Bulletin simple'!AL14/'Déclaration Pajemploi'!AC10)*2,0)/2,H34),0)</f>
        <v>0</v>
      </c>
      <c r="I33" s="121" t="s">
        <v>151</v>
      </c>
      <c r="J33" s="121"/>
      <c r="K33" s="121"/>
      <c r="L33" s="121"/>
      <c r="M33" s="121"/>
    </row>
    <row r="34" spans="1:13" x14ac:dyDescent="0.25">
      <c r="A34" s="15"/>
      <c r="B34" s="65"/>
      <c r="D34" s="121"/>
      <c r="E34" s="121"/>
      <c r="F34" s="121"/>
      <c r="G34" s="122" t="s">
        <v>175</v>
      </c>
      <c r="H34" s="174"/>
      <c r="I34" s="121"/>
      <c r="J34" s="121"/>
      <c r="K34" s="121"/>
      <c r="L34" s="121"/>
      <c r="M34" s="121"/>
    </row>
    <row r="35" spans="1:13" x14ac:dyDescent="0.25">
      <c r="A35" s="15" t="s">
        <v>161</v>
      </c>
      <c r="B35" s="65">
        <f>+'Bulletin simple'!T30*'Bulletin simple'!AR11</f>
        <v>0</v>
      </c>
      <c r="D35" s="121"/>
      <c r="E35" s="121"/>
      <c r="F35" s="121"/>
      <c r="H35" s="121"/>
      <c r="I35" s="121"/>
      <c r="J35" s="121"/>
      <c r="L35" s="123" t="str">
        <f>IF(H34="",+"Nbre des jrs des ind CP = montant CP (soit "&amp;'Bulletin simple'!T27&amp;" €) / taux hor. brut (soit "&amp;'Bulletin simple'!AL14&amp;" €) / horaire moyen par sem. (soit "&amp;H15&amp;" hrs / "&amp;H14&amp;" jrs ) = "&amp;H33&amp;" jrs","")</f>
        <v>Nbre des jrs des ind CP = montant CP (soit  €) / taux hor. brut (soit  €) / horaire moyen par sem. (soit  hrs /  jrs ) = 0 jrs</v>
      </c>
    </row>
    <row r="36" spans="1:13" x14ac:dyDescent="0.25">
      <c r="A36" s="15"/>
      <c r="B36" s="65"/>
    </row>
    <row r="37" spans="1:13" x14ac:dyDescent="0.25">
      <c r="A37" s="15" t="s">
        <v>162</v>
      </c>
      <c r="B37" s="65">
        <f>+'Bulletin simple'!T31*'Bulletin simple'!AR11</f>
        <v>0</v>
      </c>
      <c r="E37" s="152"/>
      <c r="F37" s="152"/>
      <c r="G37" s="153"/>
      <c r="H37" s="154"/>
      <c r="I37" s="155"/>
      <c r="J37" s="155"/>
      <c r="K37" s="155"/>
      <c r="L37" s="121"/>
    </row>
    <row r="38" spans="1:13" x14ac:dyDescent="0.25">
      <c r="A38" s="15"/>
      <c r="B38" s="65"/>
      <c r="E38" s="152"/>
      <c r="F38" s="152"/>
      <c r="G38" s="153"/>
      <c r="H38" s="157"/>
      <c r="I38" s="155"/>
      <c r="J38" s="155"/>
      <c r="K38" s="155"/>
      <c r="L38" s="121"/>
    </row>
    <row r="39" spans="1:13" x14ac:dyDescent="0.25">
      <c r="A39" s="15" t="s">
        <v>163</v>
      </c>
      <c r="B39" s="65">
        <f>+'Bulletin simple'!T32*'Bulletin simple'!AR11</f>
        <v>0</v>
      </c>
      <c r="E39" s="152"/>
      <c r="F39" s="152"/>
      <c r="G39" s="152"/>
      <c r="H39" s="155"/>
      <c r="I39" s="155"/>
      <c r="J39" s="155"/>
      <c r="K39" s="152"/>
      <c r="L39" s="123"/>
    </row>
    <row r="40" spans="1:13" x14ac:dyDescent="0.25">
      <c r="A40" s="15"/>
      <c r="B40" s="65"/>
      <c r="E40" s="152"/>
      <c r="F40" s="152"/>
      <c r="G40" s="152"/>
      <c r="H40" s="152"/>
      <c r="I40" s="152"/>
      <c r="J40" s="152"/>
      <c r="K40" s="152"/>
    </row>
    <row r="41" spans="1:13" x14ac:dyDescent="0.25">
      <c r="A41" s="15" t="s">
        <v>164</v>
      </c>
      <c r="B41" s="65">
        <f>+'Bulletin simple'!N68</f>
        <v>0</v>
      </c>
      <c r="E41" s="152"/>
      <c r="F41" s="156"/>
      <c r="G41" s="152"/>
      <c r="H41" s="152"/>
      <c r="I41" s="152"/>
      <c r="J41" s="152"/>
      <c r="K41" s="152"/>
    </row>
    <row r="42" spans="1:13" x14ac:dyDescent="0.25">
      <c r="B42" s="63"/>
    </row>
    <row r="43" spans="1:13" x14ac:dyDescent="0.25">
      <c r="A43" s="68" t="s">
        <v>165</v>
      </c>
      <c r="B43" s="69" t="e">
        <v>#N/A</v>
      </c>
    </row>
    <row r="44" spans="1:13" x14ac:dyDescent="0.25">
      <c r="B44" s="63"/>
    </row>
    <row r="45" spans="1:13" ht="15.75" x14ac:dyDescent="0.25">
      <c r="A45" s="16" t="s">
        <v>166</v>
      </c>
      <c r="B45" s="70" t="str">
        <f>+IF(('Bulletin simple'!T33-'Bulletin simple'!T32-'Bulletin simple'!T31-'Bulletin simple'!T30)*'Bulletin simple'!AR27&gt;(B14*(VLOOKUP(B5,base_smic,2,TRUE))*5*'Bulletin simple'!AR11),"OUI","NON")</f>
        <v>NON</v>
      </c>
    </row>
    <row r="46" spans="1:13" x14ac:dyDescent="0.25">
      <c r="A46" s="16" t="s">
        <v>167</v>
      </c>
      <c r="B46" s="63"/>
    </row>
    <row r="47" spans="1:13" ht="15.75" thickBot="1" x14ac:dyDescent="0.3">
      <c r="B47" s="63"/>
    </row>
    <row r="48" spans="1:13" ht="15.75" thickTop="1" x14ac:dyDescent="0.25">
      <c r="A48" s="71"/>
      <c r="B48" s="72"/>
    </row>
    <row r="49" spans="1:2" ht="18" x14ac:dyDescent="0.25">
      <c r="A49" s="59" t="s">
        <v>168</v>
      </c>
      <c r="B49" s="63"/>
    </row>
    <row r="50" spans="1:2" x14ac:dyDescent="0.25">
      <c r="B50" s="63"/>
    </row>
    <row r="51" spans="1:2" x14ac:dyDescent="0.25">
      <c r="A51" s="16" t="s">
        <v>169</v>
      </c>
      <c r="B51" s="65">
        <f>+B27+B29+B31+B33+B35+B37+B39+B41</f>
        <v>0</v>
      </c>
    </row>
    <row r="52" spans="1:2" x14ac:dyDescent="0.25">
      <c r="A52" s="16"/>
      <c r="B52" s="63"/>
    </row>
    <row r="53" spans="1:2" hidden="1" x14ac:dyDescent="0.25">
      <c r="A53" s="16" t="s">
        <v>170</v>
      </c>
      <c r="B53" s="65">
        <f>+'Bulletin simple'!N57*-1</f>
        <v>0</v>
      </c>
    </row>
    <row r="54" spans="1:2" x14ac:dyDescent="0.25">
      <c r="A54" s="16"/>
      <c r="B54" s="63"/>
    </row>
    <row r="55" spans="1:2" x14ac:dyDescent="0.25">
      <c r="A55" s="16" t="s">
        <v>171</v>
      </c>
      <c r="B55" s="65">
        <f>+'Bulletin simple'!Q75</f>
        <v>0</v>
      </c>
    </row>
    <row r="56" spans="1:2" x14ac:dyDescent="0.25">
      <c r="A56" s="16"/>
      <c r="B56" s="63"/>
    </row>
    <row r="57" spans="1:2" x14ac:dyDescent="0.25">
      <c r="A57" s="17" t="s">
        <v>172</v>
      </c>
      <c r="B57" s="73">
        <f>+B51+(+B53)+B55</f>
        <v>0</v>
      </c>
    </row>
  </sheetData>
  <sheetProtection algorithmName="SHA-512" hashValue="gOV8hWjdZgu1vWtYuUIYP7BpMe08aM2lnK2PdmopMrWi91LFpeoHGeBxKisgBlmELQW2hq+nLT268HsUw9bw5Q==" saltValue="ZC0nSkzRuxGdClf3v+AlwQ==" spinCount="100000" sheet="1" objects="1" scenarios="1" formatCells="0" formatColumns="0" formatRows="0" insertColumns="0" insertRows="0" insertHyperlinks="0" sort="0" autoFilter="0" pivotTables="0"/>
  <pageMargins left="0.7" right="0.7" top="0.75" bottom="0.75" header="0.3" footer="0.3"/>
  <pageSetup paperSize="9" scale="88"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19949-FD23-40A5-8FEB-50A205C6DA59}">
  <sheetPr>
    <tabColor theme="7" tint="0.39997558519241921"/>
  </sheetPr>
  <dimension ref="A1:CD107"/>
  <sheetViews>
    <sheetView showGridLines="0" zoomScale="80" zoomScaleNormal="80" workbookViewId="0">
      <selection activeCell="AP22" sqref="AP22"/>
    </sheetView>
  </sheetViews>
  <sheetFormatPr baseColWidth="10" defaultRowHeight="15" x14ac:dyDescent="0.25"/>
  <cols>
    <col min="1" max="1" width="4.42578125" style="15" customWidth="1"/>
    <col min="2" max="2" width="8.85546875" style="15" customWidth="1"/>
    <col min="3" max="5" width="3.42578125" style="15" customWidth="1"/>
    <col min="6" max="6" width="4.5703125" style="15" customWidth="1"/>
    <col min="7" max="7" width="4.28515625" style="15" customWidth="1"/>
    <col min="8" max="15" width="3.42578125" style="15" customWidth="1"/>
    <col min="16" max="16" width="4.5703125" style="15" customWidth="1"/>
    <col min="17" max="17" width="2.42578125" style="15" customWidth="1"/>
    <col min="18" max="26" width="3.42578125" style="15" customWidth="1"/>
    <col min="27" max="27" width="1.28515625" style="15" customWidth="1"/>
    <col min="28" max="28" width="3" style="15" customWidth="1"/>
    <col min="29" max="29" width="3.5703125" style="15" customWidth="1"/>
    <col min="30" max="40" width="3" style="15" customWidth="1"/>
    <col min="41" max="42" width="3.7109375" style="15" customWidth="1"/>
    <col min="43" max="45" width="11.42578125" style="13"/>
    <col min="46" max="46" width="7" style="13" customWidth="1"/>
    <col min="47" max="47" width="11.42578125" style="13"/>
    <col min="48" max="48" width="7.28515625" style="13" customWidth="1"/>
    <col min="49" max="53" width="11.42578125" style="13"/>
    <col min="54" max="54" width="11.42578125" style="13" customWidth="1"/>
    <col min="55" max="55" width="15.7109375" style="13" customWidth="1"/>
    <col min="56" max="56" width="17.140625" style="13" customWidth="1"/>
    <col min="57" max="58" width="11.42578125" style="13" customWidth="1"/>
    <col min="59" max="63" width="11.42578125" style="13" hidden="1" customWidth="1"/>
    <col min="64" max="74" width="11.42578125" style="13" customWidth="1"/>
    <col min="75" max="82" width="11.42578125" style="13" hidden="1" customWidth="1"/>
    <col min="83" max="104" width="11.42578125" style="13" customWidth="1"/>
    <col min="105" max="16384" width="11.42578125" style="13"/>
  </cols>
  <sheetData>
    <row r="1" spans="1:76" ht="18" x14ac:dyDescent="0.25">
      <c r="A1" s="349" t="s">
        <v>0</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BC1" s="734" t="s">
        <v>248</v>
      </c>
      <c r="BD1" s="734"/>
      <c r="BJ1" s="186" t="s">
        <v>109</v>
      </c>
      <c r="BX1" s="13" t="s">
        <v>185</v>
      </c>
    </row>
    <row r="2" spans="1:76" ht="12" customHeight="1" x14ac:dyDescent="0.2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R2" s="13" t="s">
        <v>103</v>
      </c>
      <c r="BC2" s="182">
        <v>45658</v>
      </c>
      <c r="BD2" s="187">
        <v>0.78120000000000001</v>
      </c>
      <c r="BJ2" s="188">
        <v>45658</v>
      </c>
      <c r="BX2" s="13" t="s">
        <v>184</v>
      </c>
    </row>
    <row r="3" spans="1:76" ht="18" x14ac:dyDescent="0.25">
      <c r="A3" s="350" t="s">
        <v>1</v>
      </c>
      <c r="B3" s="351"/>
      <c r="C3" s="351"/>
      <c r="D3" s="351"/>
      <c r="E3" s="351"/>
      <c r="F3" s="351"/>
      <c r="G3" s="351"/>
      <c r="H3" s="351"/>
      <c r="I3" s="351"/>
      <c r="J3" s="351"/>
      <c r="K3" s="351"/>
      <c r="L3" s="351"/>
      <c r="M3" s="351"/>
      <c r="N3" s="351"/>
      <c r="O3" s="351"/>
      <c r="P3" s="351"/>
      <c r="Q3" s="351"/>
      <c r="R3" s="352"/>
      <c r="S3" s="81"/>
      <c r="T3" s="81"/>
      <c r="U3" s="81"/>
      <c r="V3" s="82" t="s">
        <v>2</v>
      </c>
      <c r="W3" s="83"/>
      <c r="X3" s="737">
        <v>45689</v>
      </c>
      <c r="Y3" s="738"/>
      <c r="Z3" s="738"/>
      <c r="AA3" s="738"/>
      <c r="AB3" s="738"/>
      <c r="AC3" s="739"/>
      <c r="AD3" s="81"/>
      <c r="AE3" s="81"/>
      <c r="AF3" s="356" t="s">
        <v>3</v>
      </c>
      <c r="AG3" s="357"/>
      <c r="AH3" s="358"/>
      <c r="AI3" s="740" t="s">
        <v>226</v>
      </c>
      <c r="AJ3" s="741"/>
      <c r="AK3" s="741"/>
      <c r="AL3" s="741"/>
      <c r="AM3" s="741"/>
      <c r="AN3" s="741"/>
      <c r="AO3" s="742"/>
      <c r="AR3" s="743" t="s">
        <v>231</v>
      </c>
      <c r="AS3" s="743"/>
      <c r="AT3" s="178"/>
      <c r="BC3" s="182"/>
      <c r="BD3" s="187"/>
      <c r="BJ3" s="188">
        <v>45689</v>
      </c>
    </row>
    <row r="4" spans="1:76" x14ac:dyDescent="0.25">
      <c r="A4" s="340" t="s">
        <v>4</v>
      </c>
      <c r="B4" s="341"/>
      <c r="C4" s="341"/>
      <c r="D4" s="341"/>
      <c r="E4" s="732" t="s">
        <v>221</v>
      </c>
      <c r="F4" s="732"/>
      <c r="G4" s="732"/>
      <c r="H4" s="732"/>
      <c r="I4" s="732"/>
      <c r="J4" s="732"/>
      <c r="K4" s="732"/>
      <c r="L4" s="732"/>
      <c r="M4" s="732"/>
      <c r="N4" s="732"/>
      <c r="O4" s="732"/>
      <c r="P4" s="732"/>
      <c r="Q4" s="732"/>
      <c r="R4" s="733"/>
      <c r="V4" s="85" t="s">
        <v>5</v>
      </c>
      <c r="W4" s="86"/>
      <c r="X4" s="362">
        <v>2025</v>
      </c>
      <c r="Y4" s="363"/>
      <c r="Z4" s="363"/>
      <c r="AA4" s="363"/>
      <c r="AB4" s="363"/>
      <c r="AC4" s="364"/>
      <c r="AE4" s="87"/>
      <c r="AF4" s="365" t="s">
        <v>6</v>
      </c>
      <c r="AG4" s="366"/>
      <c r="AH4" s="366"/>
      <c r="AI4" s="367"/>
      <c r="AJ4" s="744">
        <v>44896</v>
      </c>
      <c r="AK4" s="745"/>
      <c r="AL4" s="745"/>
      <c r="AM4" s="745"/>
      <c r="AN4" s="745"/>
      <c r="AO4" s="746"/>
      <c r="AP4" s="76"/>
      <c r="BC4" s="182"/>
      <c r="BD4" s="187"/>
      <c r="BJ4" s="188">
        <v>45717</v>
      </c>
    </row>
    <row r="5" spans="1:76" x14ac:dyDescent="0.25">
      <c r="A5" s="231" t="s">
        <v>7</v>
      </c>
      <c r="B5" s="342"/>
      <c r="C5" s="342"/>
      <c r="D5" s="342"/>
      <c r="E5" s="635" t="s">
        <v>222</v>
      </c>
      <c r="F5" s="635"/>
      <c r="G5" s="635"/>
      <c r="H5" s="635"/>
      <c r="I5" s="635"/>
      <c r="J5" s="635"/>
      <c r="K5" s="635"/>
      <c r="L5" s="635"/>
      <c r="M5" s="635"/>
      <c r="N5" s="635"/>
      <c r="O5" s="635"/>
      <c r="P5" s="635"/>
      <c r="Q5" s="635"/>
      <c r="R5" s="731"/>
      <c r="V5" s="88" t="s">
        <v>8</v>
      </c>
      <c r="W5" s="89"/>
      <c r="X5" s="579">
        <v>45689</v>
      </c>
      <c r="Y5" s="580"/>
      <c r="Z5" s="471" t="s">
        <v>9</v>
      </c>
      <c r="AA5" s="471"/>
      <c r="AB5" s="580">
        <v>45716</v>
      </c>
      <c r="AC5" s="581"/>
      <c r="AP5" s="90"/>
      <c r="AS5" s="63" t="s">
        <v>180</v>
      </c>
      <c r="AT5" s="179"/>
      <c r="AU5" s="129" t="s">
        <v>9</v>
      </c>
      <c r="AV5" s="179"/>
      <c r="BC5" s="182"/>
      <c r="BD5" s="187"/>
      <c r="BJ5" s="188">
        <v>45748</v>
      </c>
    </row>
    <row r="6" spans="1:76" x14ac:dyDescent="0.25">
      <c r="A6" s="231" t="s">
        <v>10</v>
      </c>
      <c r="B6" s="342"/>
      <c r="C6" s="342"/>
      <c r="D6" s="342"/>
      <c r="E6" s="635" t="s">
        <v>223</v>
      </c>
      <c r="F6" s="635"/>
      <c r="G6" s="635"/>
      <c r="H6" s="635"/>
      <c r="I6" s="635"/>
      <c r="J6" s="635"/>
      <c r="K6" s="635"/>
      <c r="L6" s="635"/>
      <c r="M6" s="635"/>
      <c r="N6" s="635"/>
      <c r="O6" s="635"/>
      <c r="P6" s="635"/>
      <c r="Q6" s="635"/>
      <c r="R6" s="731"/>
      <c r="BJ6" s="188">
        <v>45778</v>
      </c>
    </row>
    <row r="7" spans="1:76" x14ac:dyDescent="0.25">
      <c r="A7" s="231" t="s">
        <v>11</v>
      </c>
      <c r="B7" s="342"/>
      <c r="C7" s="342"/>
      <c r="D7" s="342"/>
      <c r="E7" s="635" t="s">
        <v>224</v>
      </c>
      <c r="F7" s="635"/>
      <c r="G7" s="635"/>
      <c r="H7" s="635"/>
      <c r="I7" s="635"/>
      <c r="J7" s="635"/>
      <c r="K7" s="635"/>
      <c r="L7" s="635"/>
      <c r="M7" s="635"/>
      <c r="N7" s="635"/>
      <c r="O7" s="635"/>
      <c r="P7" s="635"/>
      <c r="Q7" s="635"/>
      <c r="R7" s="731"/>
      <c r="V7" s="350" t="s">
        <v>12</v>
      </c>
      <c r="W7" s="351"/>
      <c r="X7" s="351"/>
      <c r="Y7" s="351"/>
      <c r="Z7" s="351"/>
      <c r="AA7" s="351"/>
      <c r="AB7" s="351"/>
      <c r="AC7" s="351"/>
      <c r="AD7" s="351"/>
      <c r="AE7" s="351"/>
      <c r="AF7" s="351"/>
      <c r="AG7" s="351"/>
      <c r="AH7" s="351"/>
      <c r="AI7" s="351"/>
      <c r="AJ7" s="351"/>
      <c r="AK7" s="351"/>
      <c r="AL7" s="351"/>
      <c r="AM7" s="351"/>
      <c r="AN7" s="351"/>
      <c r="AO7" s="352"/>
      <c r="AP7" s="91"/>
      <c r="AR7" s="152"/>
      <c r="AS7" s="152"/>
      <c r="BC7" s="735" t="s">
        <v>249</v>
      </c>
      <c r="BD7" s="735"/>
      <c r="BJ7" s="188">
        <v>45809</v>
      </c>
    </row>
    <row r="8" spans="1:76" x14ac:dyDescent="0.25">
      <c r="A8" s="343" t="s">
        <v>13</v>
      </c>
      <c r="B8" s="344"/>
      <c r="C8" s="344"/>
      <c r="D8" s="344"/>
      <c r="E8" s="718" t="s">
        <v>225</v>
      </c>
      <c r="F8" s="718"/>
      <c r="G8" s="718"/>
      <c r="H8" s="718"/>
      <c r="I8" s="718"/>
      <c r="J8" s="718"/>
      <c r="K8" s="718"/>
      <c r="L8" s="718"/>
      <c r="M8" s="718"/>
      <c r="N8" s="718"/>
      <c r="O8" s="718"/>
      <c r="P8" s="718"/>
      <c r="Q8" s="718"/>
      <c r="R8" s="719"/>
      <c r="V8" s="340" t="s">
        <v>4</v>
      </c>
      <c r="W8" s="341"/>
      <c r="X8" s="341"/>
      <c r="Y8" s="341"/>
      <c r="Z8" s="732" t="s">
        <v>227</v>
      </c>
      <c r="AA8" s="732"/>
      <c r="AB8" s="732"/>
      <c r="AC8" s="732"/>
      <c r="AD8" s="732"/>
      <c r="AE8" s="732"/>
      <c r="AF8" s="732"/>
      <c r="AG8" s="732"/>
      <c r="AH8" s="732"/>
      <c r="AI8" s="732"/>
      <c r="AJ8" s="732"/>
      <c r="AK8" s="732"/>
      <c r="AL8" s="732"/>
      <c r="AM8" s="732"/>
      <c r="AN8" s="732"/>
      <c r="AO8" s="733"/>
      <c r="AR8" s="195"/>
      <c r="AS8" s="152"/>
      <c r="BC8" s="208">
        <v>45658</v>
      </c>
      <c r="BD8" s="209">
        <v>0.86419999999999997</v>
      </c>
      <c r="BJ8" s="188">
        <v>45839</v>
      </c>
    </row>
    <row r="9" spans="1:76" x14ac:dyDescent="0.25">
      <c r="V9" s="231" t="s">
        <v>7</v>
      </c>
      <c r="W9" s="342"/>
      <c r="X9" s="342"/>
      <c r="Y9" s="342"/>
      <c r="Z9" s="635" t="s">
        <v>228</v>
      </c>
      <c r="AA9" s="635"/>
      <c r="AB9" s="635"/>
      <c r="AC9" s="635"/>
      <c r="AD9" s="635"/>
      <c r="AE9" s="635"/>
      <c r="AF9" s="635"/>
      <c r="AG9" s="635"/>
      <c r="AH9" s="635"/>
      <c r="AI9" s="635"/>
      <c r="AJ9" s="635"/>
      <c r="AK9" s="635"/>
      <c r="AL9" s="635"/>
      <c r="AM9" s="635"/>
      <c r="AN9" s="635"/>
      <c r="AO9" s="731"/>
      <c r="BC9" s="208"/>
      <c r="BD9" s="209"/>
      <c r="BJ9" s="188">
        <v>45870</v>
      </c>
    </row>
    <row r="10" spans="1:76" x14ac:dyDescent="0.25">
      <c r="A10" s="582" t="s">
        <v>14</v>
      </c>
      <c r="B10" s="582"/>
      <c r="C10" s="582"/>
      <c r="D10" s="582"/>
      <c r="E10" s="582"/>
      <c r="F10" s="582"/>
      <c r="G10" s="582"/>
      <c r="H10" s="582"/>
      <c r="I10" s="582"/>
      <c r="J10" s="582"/>
      <c r="K10" s="582"/>
      <c r="L10" s="582"/>
      <c r="M10" s="582"/>
      <c r="V10" s="231" t="s">
        <v>10</v>
      </c>
      <c r="W10" s="342"/>
      <c r="X10" s="342"/>
      <c r="Y10" s="342"/>
      <c r="Z10" s="635" t="s">
        <v>223</v>
      </c>
      <c r="AA10" s="635"/>
      <c r="AB10" s="635"/>
      <c r="AC10" s="635"/>
      <c r="AD10" s="635"/>
      <c r="AE10" s="635"/>
      <c r="AF10" s="635"/>
      <c r="AG10" s="635"/>
      <c r="AH10" s="635"/>
      <c r="AI10" s="635"/>
      <c r="AJ10" s="635"/>
      <c r="AK10" s="635"/>
      <c r="AL10" s="635"/>
      <c r="AM10" s="635"/>
      <c r="AN10" s="635"/>
      <c r="AO10" s="731"/>
      <c r="AR10" s="13" t="s">
        <v>247</v>
      </c>
      <c r="BC10" s="208"/>
      <c r="BD10" s="209"/>
      <c r="BJ10" s="188">
        <v>45901</v>
      </c>
    </row>
    <row r="11" spans="1:76" x14ac:dyDescent="0.25">
      <c r="A11" s="582"/>
      <c r="B11" s="582"/>
      <c r="C11" s="582"/>
      <c r="D11" s="582"/>
      <c r="E11" s="582"/>
      <c r="F11" s="582"/>
      <c r="G11" s="582"/>
      <c r="H11" s="582"/>
      <c r="I11" s="582"/>
      <c r="J11" s="582"/>
      <c r="K11" s="582"/>
      <c r="L11" s="582"/>
      <c r="M11" s="582"/>
      <c r="V11" s="231" t="s">
        <v>15</v>
      </c>
      <c r="W11" s="342"/>
      <c r="X11" s="342"/>
      <c r="Y11" s="342"/>
      <c r="Z11" s="635" t="s">
        <v>229</v>
      </c>
      <c r="AA11" s="635"/>
      <c r="AB11" s="635"/>
      <c r="AC11" s="635"/>
      <c r="AD11" s="635"/>
      <c r="AE11" s="635"/>
      <c r="AF11" s="635"/>
      <c r="AG11" s="635"/>
      <c r="AH11" s="635"/>
      <c r="AI11" s="635"/>
      <c r="AJ11" s="635"/>
      <c r="AK11" s="635"/>
      <c r="AL11" s="635"/>
      <c r="AM11" s="635"/>
      <c r="AN11" s="635"/>
      <c r="AO11" s="731"/>
      <c r="AR11" s="92">
        <v>0.78120000000000001</v>
      </c>
      <c r="BC11" s="208"/>
      <c r="BD11" s="209"/>
      <c r="BJ11" s="188">
        <v>45931</v>
      </c>
    </row>
    <row r="12" spans="1:76" x14ac:dyDescent="0.25">
      <c r="V12" s="343" t="s">
        <v>16</v>
      </c>
      <c r="W12" s="344"/>
      <c r="X12" s="344"/>
      <c r="Y12" s="344"/>
      <c r="Z12" s="718" t="s">
        <v>230</v>
      </c>
      <c r="AA12" s="718"/>
      <c r="AB12" s="718"/>
      <c r="AC12" s="718"/>
      <c r="AD12" s="718"/>
      <c r="AE12" s="718"/>
      <c r="AF12" s="718"/>
      <c r="AG12" s="718"/>
      <c r="AH12" s="718"/>
      <c r="AI12" s="718"/>
      <c r="AJ12" s="718"/>
      <c r="AK12" s="718"/>
      <c r="AL12" s="718"/>
      <c r="AM12" s="718"/>
      <c r="AN12" s="718"/>
      <c r="AO12" s="719"/>
      <c r="BC12" s="210"/>
      <c r="BD12" s="210"/>
      <c r="BJ12" s="188">
        <v>45962</v>
      </c>
    </row>
    <row r="13" spans="1:76" x14ac:dyDescent="0.25">
      <c r="A13" s="93"/>
      <c r="B13" s="93"/>
      <c r="C13" s="93"/>
      <c r="D13" s="93"/>
      <c r="E13" s="93"/>
      <c r="F13" s="93"/>
      <c r="G13" s="93"/>
      <c r="H13" s="93"/>
      <c r="I13" s="93"/>
      <c r="J13" s="93"/>
      <c r="K13" s="93"/>
      <c r="L13" s="93"/>
      <c r="M13" s="93"/>
      <c r="AN13" s="94"/>
      <c r="AR13" s="12" t="s">
        <v>116</v>
      </c>
      <c r="AS13" s="12"/>
      <c r="BC13" s="736" t="s">
        <v>112</v>
      </c>
      <c r="BD13" s="736"/>
      <c r="BJ13" s="188">
        <v>45992</v>
      </c>
    </row>
    <row r="14" spans="1:76" x14ac:dyDescent="0.25">
      <c r="G14" s="74" t="s">
        <v>17</v>
      </c>
      <c r="H14" s="720">
        <v>100</v>
      </c>
      <c r="I14" s="721"/>
      <c r="J14" s="721"/>
      <c r="K14" s="722"/>
      <c r="O14" s="586" t="s">
        <v>18</v>
      </c>
      <c r="P14" s="586"/>
      <c r="Q14" s="586"/>
      <c r="R14" s="586"/>
      <c r="S14" s="586"/>
      <c r="T14" s="587"/>
      <c r="U14" s="720">
        <v>10</v>
      </c>
      <c r="V14" s="721"/>
      <c r="W14" s="721"/>
      <c r="X14" s="723"/>
      <c r="AE14" s="365" t="s">
        <v>19</v>
      </c>
      <c r="AF14" s="366"/>
      <c r="AG14" s="366"/>
      <c r="AH14" s="366"/>
      <c r="AI14" s="366"/>
      <c r="AJ14" s="366"/>
      <c r="AK14" s="367"/>
      <c r="AL14" s="724">
        <v>5</v>
      </c>
      <c r="AM14" s="725"/>
      <c r="AN14" s="725"/>
      <c r="AO14" s="726"/>
      <c r="AR14" s="180" t="s">
        <v>108</v>
      </c>
      <c r="BC14" s="211">
        <v>45658</v>
      </c>
      <c r="BD14" s="212">
        <v>1.2999999999999999E-2</v>
      </c>
    </row>
    <row r="15" spans="1:76" x14ac:dyDescent="0.25">
      <c r="A15" s="15" t="s">
        <v>113</v>
      </c>
      <c r="L15" s="74" t="s">
        <v>114</v>
      </c>
      <c r="M15" s="727">
        <v>0.25</v>
      </c>
      <c r="N15" s="728"/>
      <c r="W15" s="74" t="s">
        <v>115</v>
      </c>
      <c r="X15" s="729">
        <v>0.1</v>
      </c>
      <c r="Y15" s="730"/>
      <c r="Z15" s="181"/>
      <c r="AE15" s="365" t="s">
        <v>20</v>
      </c>
      <c r="AF15" s="366"/>
      <c r="AG15" s="366"/>
      <c r="AH15" s="366"/>
      <c r="AI15" s="366"/>
      <c r="AJ15" s="366"/>
      <c r="AK15" s="367"/>
      <c r="AL15" s="534">
        <v>4.3209999999999997</v>
      </c>
      <c r="AM15" s="535"/>
      <c r="AN15" s="535"/>
      <c r="AO15" s="536"/>
      <c r="AP15" s="96"/>
      <c r="BC15" s="211"/>
      <c r="BD15" s="212"/>
    </row>
    <row r="16" spans="1:76" ht="9.75" customHeight="1" x14ac:dyDescent="0.25">
      <c r="AP16" s="96"/>
      <c r="BC16" s="211"/>
      <c r="BD16" s="212"/>
    </row>
    <row r="17" spans="1:60" ht="11.25" customHeight="1" thickBot="1" x14ac:dyDescent="0.3">
      <c r="M17" s="97"/>
      <c r="N17" s="97"/>
      <c r="AE17" s="76"/>
      <c r="AF17" s="76"/>
      <c r="AG17" s="76"/>
      <c r="AH17" s="76"/>
      <c r="AI17" s="76"/>
      <c r="AJ17" s="76"/>
      <c r="AK17" s="76"/>
      <c r="AL17" s="96"/>
      <c r="AM17" s="96"/>
      <c r="AN17" s="96"/>
      <c r="AO17" s="96"/>
      <c r="AP17" s="96"/>
      <c r="AR17" s="213" t="s">
        <v>246</v>
      </c>
      <c r="AS17" s="213"/>
      <c r="AT17" s="213"/>
      <c r="BC17" s="211"/>
      <c r="BD17" s="212"/>
    </row>
    <row r="18" spans="1:60" ht="15.75" thickTop="1" x14ac:dyDescent="0.25">
      <c r="A18" s="350" t="s">
        <v>21</v>
      </c>
      <c r="B18" s="351"/>
      <c r="C18" s="351"/>
      <c r="D18" s="351"/>
      <c r="E18" s="351"/>
      <c r="F18" s="351"/>
      <c r="G18" s="351"/>
      <c r="H18" s="351"/>
      <c r="I18" s="351"/>
      <c r="J18" s="351"/>
      <c r="K18" s="352"/>
      <c r="L18" s="537" t="s">
        <v>22</v>
      </c>
      <c r="M18" s="537"/>
      <c r="N18" s="537"/>
      <c r="O18" s="538"/>
      <c r="P18" s="539" t="s">
        <v>23</v>
      </c>
      <c r="Q18" s="537"/>
      <c r="R18" s="537"/>
      <c r="S18" s="538"/>
      <c r="T18" s="539" t="s">
        <v>24</v>
      </c>
      <c r="U18" s="537"/>
      <c r="V18" s="537"/>
      <c r="W18" s="538"/>
      <c r="AB18" s="540" t="s">
        <v>25</v>
      </c>
      <c r="AC18" s="541"/>
      <c r="AD18" s="544" t="s">
        <v>26</v>
      </c>
      <c r="AE18" s="544"/>
      <c r="AF18" s="544"/>
      <c r="AG18" s="544" t="s">
        <v>27</v>
      </c>
      <c r="AH18" s="544"/>
      <c r="AI18" s="544"/>
      <c r="AJ18" s="544" t="s">
        <v>28</v>
      </c>
      <c r="AK18" s="544"/>
      <c r="AL18" s="557"/>
      <c r="AO18" s="13"/>
      <c r="AP18" s="13"/>
      <c r="AR18" s="130">
        <v>45658</v>
      </c>
      <c r="AS18" s="131">
        <v>11.88</v>
      </c>
      <c r="BH18" s="13" t="s">
        <v>117</v>
      </c>
    </row>
    <row r="19" spans="1:60" ht="15" customHeight="1" x14ac:dyDescent="0.25">
      <c r="A19" s="340" t="s">
        <v>232</v>
      </c>
      <c r="B19" s="341"/>
      <c r="C19" s="341"/>
      <c r="D19" s="341"/>
      <c r="E19" s="341"/>
      <c r="F19" s="341"/>
      <c r="G19" s="341"/>
      <c r="H19" s="341"/>
      <c r="I19" s="341"/>
      <c r="J19" s="341"/>
      <c r="K19" s="605"/>
      <c r="L19" s="562">
        <v>100</v>
      </c>
      <c r="M19" s="562"/>
      <c r="N19" s="562"/>
      <c r="O19" s="563"/>
      <c r="P19" s="564">
        <v>5</v>
      </c>
      <c r="Q19" s="565"/>
      <c r="R19" s="565"/>
      <c r="S19" s="566"/>
      <c r="T19" s="567">
        <v>500</v>
      </c>
      <c r="U19" s="568"/>
      <c r="V19" s="568"/>
      <c r="W19" s="569"/>
      <c r="X19" s="76"/>
      <c r="Y19" s="76"/>
      <c r="Z19" s="76"/>
      <c r="AA19" s="98"/>
      <c r="AB19" s="542"/>
      <c r="AC19" s="543"/>
      <c r="AD19" s="545"/>
      <c r="AE19" s="545"/>
      <c r="AF19" s="545"/>
      <c r="AG19" s="545"/>
      <c r="AH19" s="545"/>
      <c r="AI19" s="545"/>
      <c r="AJ19" s="545"/>
      <c r="AK19" s="545"/>
      <c r="AL19" s="558"/>
      <c r="AM19" s="99"/>
      <c r="AN19" s="13"/>
      <c r="AO19" s="13"/>
      <c r="AP19" s="13"/>
      <c r="AR19" s="182"/>
      <c r="AS19" s="165"/>
      <c r="BC19" s="734" t="s">
        <v>215</v>
      </c>
      <c r="BD19" s="734"/>
      <c r="BG19" s="13" t="s">
        <v>35</v>
      </c>
    </row>
    <row r="20" spans="1:60" x14ac:dyDescent="0.25">
      <c r="A20" s="231" t="s">
        <v>233</v>
      </c>
      <c r="B20" s="342"/>
      <c r="C20" s="342"/>
      <c r="D20" s="342"/>
      <c r="E20" s="342"/>
      <c r="F20" s="342"/>
      <c r="G20" s="342"/>
      <c r="H20" s="342"/>
      <c r="I20" s="342"/>
      <c r="J20" s="342"/>
      <c r="K20" s="570"/>
      <c r="L20" s="576">
        <v>10</v>
      </c>
      <c r="M20" s="576"/>
      <c r="N20" s="576"/>
      <c r="O20" s="577"/>
      <c r="P20" s="523">
        <v>5</v>
      </c>
      <c r="Q20" s="524"/>
      <c r="R20" s="524"/>
      <c r="S20" s="525"/>
      <c r="T20" s="574">
        <v>50</v>
      </c>
      <c r="U20" s="368"/>
      <c r="V20" s="368"/>
      <c r="W20" s="575"/>
      <c r="X20" s="77"/>
      <c r="Y20" s="77"/>
      <c r="Z20" s="77"/>
      <c r="AA20" s="65"/>
      <c r="AB20" s="432">
        <v>45689</v>
      </c>
      <c r="AC20" s="432">
        <v>0</v>
      </c>
      <c r="AD20" s="694"/>
      <c r="AE20" s="694"/>
      <c r="AF20" s="694"/>
      <c r="AG20" s="695"/>
      <c r="AH20" s="695"/>
      <c r="AI20" s="695"/>
      <c r="AJ20" s="694"/>
      <c r="AK20" s="694"/>
      <c r="AL20" s="696"/>
      <c r="AM20" s="100"/>
      <c r="AN20" s="101">
        <v>0</v>
      </c>
      <c r="AO20" s="13"/>
      <c r="AP20" s="13"/>
      <c r="AR20" s="182"/>
      <c r="AS20" s="165"/>
      <c r="BC20" s="182">
        <v>45658</v>
      </c>
      <c r="BD20" s="189">
        <v>3925</v>
      </c>
    </row>
    <row r="21" spans="1:60" x14ac:dyDescent="0.25">
      <c r="A21" s="231" t="s">
        <v>234</v>
      </c>
      <c r="B21" s="342"/>
      <c r="C21" s="342"/>
      <c r="D21" s="342"/>
      <c r="E21" s="342"/>
      <c r="F21" s="342"/>
      <c r="G21" s="342"/>
      <c r="H21" s="342"/>
      <c r="I21" s="342"/>
      <c r="J21" s="342"/>
      <c r="K21" s="570"/>
      <c r="L21" s="716">
        <v>10</v>
      </c>
      <c r="M21" s="716"/>
      <c r="N21" s="716"/>
      <c r="O21" s="717"/>
      <c r="P21" s="573">
        <v>1.25</v>
      </c>
      <c r="Q21" s="524"/>
      <c r="R21" s="524"/>
      <c r="S21" s="525"/>
      <c r="T21" s="574">
        <v>12.5</v>
      </c>
      <c r="U21" s="368"/>
      <c r="V21" s="368"/>
      <c r="W21" s="575"/>
      <c r="X21" s="77"/>
      <c r="Y21" s="77"/>
      <c r="Z21" s="77"/>
      <c r="AA21" s="65"/>
      <c r="AB21" s="432">
        <v>45690</v>
      </c>
      <c r="AC21" s="432">
        <v>1</v>
      </c>
      <c r="AD21" s="694"/>
      <c r="AE21" s="694"/>
      <c r="AF21" s="694"/>
      <c r="AG21" s="695"/>
      <c r="AH21" s="695"/>
      <c r="AI21" s="695"/>
      <c r="AJ21" s="694"/>
      <c r="AK21" s="694"/>
      <c r="AL21" s="696"/>
      <c r="AM21" s="100"/>
      <c r="AN21" s="101">
        <v>0</v>
      </c>
      <c r="AO21" s="13"/>
      <c r="AP21" s="13"/>
      <c r="AR21" s="182"/>
      <c r="AS21" s="165"/>
      <c r="BC21" s="182"/>
      <c r="BD21" s="189"/>
    </row>
    <row r="22" spans="1:60" x14ac:dyDescent="0.25">
      <c r="A22" s="231" t="s">
        <v>29</v>
      </c>
      <c r="B22" s="342"/>
      <c r="C22" s="342"/>
      <c r="D22" s="342"/>
      <c r="E22" s="342"/>
      <c r="F22" s="342"/>
      <c r="G22" s="342"/>
      <c r="H22" s="342"/>
      <c r="I22" s="342"/>
      <c r="J22" s="342"/>
      <c r="K22" s="570"/>
      <c r="L22" s="490">
        <v>2</v>
      </c>
      <c r="M22" s="490"/>
      <c r="N22" s="490"/>
      <c r="O22" s="491"/>
      <c r="P22" s="523">
        <v>5.5</v>
      </c>
      <c r="Q22" s="524"/>
      <c r="R22" s="524"/>
      <c r="S22" s="525"/>
      <c r="T22" s="574">
        <v>11</v>
      </c>
      <c r="U22" s="368"/>
      <c r="V22" s="368"/>
      <c r="W22" s="575"/>
      <c r="X22" s="77"/>
      <c r="Y22" s="77"/>
      <c r="Z22" s="77"/>
      <c r="AA22" s="65"/>
      <c r="AB22" s="432">
        <v>45691</v>
      </c>
      <c r="AC22" s="432">
        <v>2</v>
      </c>
      <c r="AD22" s="694">
        <v>10</v>
      </c>
      <c r="AE22" s="694"/>
      <c r="AF22" s="694"/>
      <c r="AG22" s="695"/>
      <c r="AH22" s="695"/>
      <c r="AI22" s="695"/>
      <c r="AJ22" s="694"/>
      <c r="AK22" s="694"/>
      <c r="AL22" s="696"/>
      <c r="AM22" s="100"/>
      <c r="AN22" s="101">
        <v>10</v>
      </c>
      <c r="AO22" s="13"/>
      <c r="AP22" s="13"/>
      <c r="AR22" s="182"/>
      <c r="AS22" s="165"/>
      <c r="BC22" s="182"/>
      <c r="BD22" s="189"/>
    </row>
    <row r="23" spans="1:60" x14ac:dyDescent="0.25">
      <c r="A23" s="343" t="s">
        <v>30</v>
      </c>
      <c r="B23" s="344"/>
      <c r="C23" s="344"/>
      <c r="D23" s="344"/>
      <c r="E23" s="344"/>
      <c r="F23" s="344"/>
      <c r="G23" s="344"/>
      <c r="H23" s="344"/>
      <c r="I23" s="344"/>
      <c r="J23" s="344"/>
      <c r="K23" s="608"/>
      <c r="L23" s="490">
        <v>0</v>
      </c>
      <c r="M23" s="490"/>
      <c r="N23" s="490"/>
      <c r="O23" s="491"/>
      <c r="P23" s="523">
        <v>6.25</v>
      </c>
      <c r="Q23" s="524"/>
      <c r="R23" s="524"/>
      <c r="S23" s="525"/>
      <c r="T23" s="574">
        <v>0</v>
      </c>
      <c r="U23" s="368"/>
      <c r="V23" s="368"/>
      <c r="W23" s="575"/>
      <c r="X23" s="78"/>
      <c r="Y23" s="78"/>
      <c r="Z23" s="78"/>
      <c r="AA23" s="65"/>
      <c r="AB23" s="432">
        <v>45692</v>
      </c>
      <c r="AC23" s="432">
        <v>3</v>
      </c>
      <c r="AD23" s="694">
        <v>10</v>
      </c>
      <c r="AE23" s="694"/>
      <c r="AF23" s="694"/>
      <c r="AG23" s="695"/>
      <c r="AH23" s="695"/>
      <c r="AI23" s="695"/>
      <c r="AJ23" s="694"/>
      <c r="AK23" s="694"/>
      <c r="AL23" s="696"/>
      <c r="AM23" s="100"/>
      <c r="AN23" s="101">
        <v>10</v>
      </c>
      <c r="AO23" s="13"/>
      <c r="AP23" s="13"/>
      <c r="AR23" s="182"/>
      <c r="AS23" s="165"/>
      <c r="BC23" s="182"/>
      <c r="BD23" s="189"/>
      <c r="BG23" s="13" t="s">
        <v>216</v>
      </c>
      <c r="BH23" s="13">
        <v>3925</v>
      </c>
    </row>
    <row r="24" spans="1:60" x14ac:dyDescent="0.25">
      <c r="A24" s="510" t="s">
        <v>31</v>
      </c>
      <c r="B24" s="529" t="s">
        <v>32</v>
      </c>
      <c r="C24" s="530"/>
      <c r="D24" s="530"/>
      <c r="E24" s="530"/>
      <c r="F24" s="530"/>
      <c r="G24" s="530"/>
      <c r="H24" s="530"/>
      <c r="I24" s="530"/>
      <c r="J24" s="530"/>
      <c r="K24" s="531"/>
      <c r="L24" s="490">
        <v>0</v>
      </c>
      <c r="M24" s="490"/>
      <c r="N24" s="490"/>
      <c r="O24" s="491"/>
      <c r="P24" s="523" t="e">
        <v>#DIV/0!</v>
      </c>
      <c r="Q24" s="524"/>
      <c r="R24" s="524"/>
      <c r="S24" s="525"/>
      <c r="T24" s="526">
        <v>0</v>
      </c>
      <c r="U24" s="527"/>
      <c r="V24" s="527"/>
      <c r="W24" s="528"/>
      <c r="X24" s="77"/>
      <c r="Y24" s="77"/>
      <c r="Z24" s="77"/>
      <c r="AA24" s="65"/>
      <c r="AB24" s="432">
        <v>45693</v>
      </c>
      <c r="AC24" s="432">
        <v>4</v>
      </c>
      <c r="AD24" s="694">
        <v>10</v>
      </c>
      <c r="AE24" s="694"/>
      <c r="AF24" s="694"/>
      <c r="AG24" s="695">
        <v>2</v>
      </c>
      <c r="AH24" s="695"/>
      <c r="AI24" s="695"/>
      <c r="AJ24" s="694"/>
      <c r="AK24" s="694"/>
      <c r="AL24" s="696"/>
      <c r="AM24" s="100"/>
      <c r="AN24" s="101">
        <v>12</v>
      </c>
      <c r="AO24" s="13"/>
      <c r="AP24" s="13"/>
      <c r="AR24" s="182"/>
      <c r="AS24" s="165"/>
    </row>
    <row r="25" spans="1:60" x14ac:dyDescent="0.25">
      <c r="A25" s="511"/>
      <c r="B25" s="520" t="s">
        <v>33</v>
      </c>
      <c r="C25" s="521"/>
      <c r="D25" s="521"/>
      <c r="E25" s="521"/>
      <c r="F25" s="521"/>
      <c r="G25" s="521"/>
      <c r="H25" s="521"/>
      <c r="I25" s="521"/>
      <c r="J25" s="521"/>
      <c r="K25" s="522"/>
      <c r="L25" s="490">
        <v>0</v>
      </c>
      <c r="M25" s="490"/>
      <c r="N25" s="490"/>
      <c r="O25" s="491"/>
      <c r="P25" s="523" t="e">
        <v>#DIV/0!</v>
      </c>
      <c r="Q25" s="524"/>
      <c r="R25" s="524"/>
      <c r="S25" s="525"/>
      <c r="T25" s="526">
        <v>0</v>
      </c>
      <c r="U25" s="527"/>
      <c r="V25" s="527"/>
      <c r="W25" s="528"/>
      <c r="X25" s="102"/>
      <c r="Y25" s="102"/>
      <c r="Z25" s="102"/>
      <c r="AA25" s="65"/>
      <c r="AB25" s="432">
        <v>45694</v>
      </c>
      <c r="AC25" s="432">
        <v>5</v>
      </c>
      <c r="AD25" s="694"/>
      <c r="AE25" s="694"/>
      <c r="AF25" s="694"/>
      <c r="AG25" s="695"/>
      <c r="AH25" s="695"/>
      <c r="AI25" s="695"/>
      <c r="AJ25" s="694"/>
      <c r="AK25" s="694"/>
      <c r="AL25" s="696"/>
      <c r="AM25" s="100"/>
      <c r="AN25" s="101">
        <v>0</v>
      </c>
      <c r="AO25" s="13"/>
      <c r="AP25" s="13"/>
    </row>
    <row r="26" spans="1:60" x14ac:dyDescent="0.25">
      <c r="A26" s="504" t="s">
        <v>34</v>
      </c>
      <c r="B26" s="713"/>
      <c r="C26" s="714"/>
      <c r="D26" s="714"/>
      <c r="E26" s="714"/>
      <c r="F26" s="714"/>
      <c r="G26" s="714"/>
      <c r="H26" s="714"/>
      <c r="I26" s="714"/>
      <c r="J26" s="714"/>
      <c r="K26" s="715"/>
      <c r="L26" s="313"/>
      <c r="M26" s="313"/>
      <c r="N26" s="313"/>
      <c r="O26" s="496"/>
      <c r="P26" s="497"/>
      <c r="Q26" s="313"/>
      <c r="R26" s="313"/>
      <c r="S26" s="496"/>
      <c r="T26" s="707"/>
      <c r="U26" s="702"/>
      <c r="V26" s="702"/>
      <c r="W26" s="708"/>
      <c r="AA26" s="65"/>
      <c r="AB26" s="432">
        <v>45695</v>
      </c>
      <c r="AC26" s="432">
        <v>6</v>
      </c>
      <c r="AD26" s="694"/>
      <c r="AE26" s="694"/>
      <c r="AF26" s="694"/>
      <c r="AG26" s="695"/>
      <c r="AH26" s="695"/>
      <c r="AI26" s="695"/>
      <c r="AJ26" s="694"/>
      <c r="AK26" s="694"/>
      <c r="AL26" s="696"/>
      <c r="AM26" s="100"/>
      <c r="AN26" s="101">
        <v>0</v>
      </c>
      <c r="AO26" s="13"/>
      <c r="AP26" s="13"/>
      <c r="AR26" s="13" t="s">
        <v>250</v>
      </c>
    </row>
    <row r="27" spans="1:60" x14ac:dyDescent="0.25">
      <c r="A27" s="505"/>
      <c r="B27" s="709"/>
      <c r="C27" s="710"/>
      <c r="D27" s="710"/>
      <c r="E27" s="710"/>
      <c r="F27" s="710"/>
      <c r="G27" s="710"/>
      <c r="H27" s="710"/>
      <c r="I27" s="710"/>
      <c r="J27" s="710"/>
      <c r="K27" s="711"/>
      <c r="L27" s="527"/>
      <c r="M27" s="527"/>
      <c r="N27" s="527"/>
      <c r="O27" s="712"/>
      <c r="P27" s="517"/>
      <c r="Q27" s="518"/>
      <c r="R27" s="518"/>
      <c r="S27" s="519"/>
      <c r="T27" s="707"/>
      <c r="U27" s="702"/>
      <c r="V27" s="702"/>
      <c r="W27" s="708"/>
      <c r="X27" s="102"/>
      <c r="Y27" s="102"/>
      <c r="Z27" s="102"/>
      <c r="AA27" s="65"/>
      <c r="AB27" s="432">
        <v>45696</v>
      </c>
      <c r="AC27" s="432">
        <v>7</v>
      </c>
      <c r="AD27" s="694"/>
      <c r="AE27" s="694"/>
      <c r="AF27" s="694"/>
      <c r="AG27" s="695"/>
      <c r="AH27" s="695"/>
      <c r="AI27" s="695"/>
      <c r="AJ27" s="694"/>
      <c r="AK27" s="694"/>
      <c r="AL27" s="696"/>
      <c r="AM27" s="100"/>
      <c r="AN27" s="101">
        <v>0</v>
      </c>
      <c r="AO27" s="13"/>
      <c r="AP27" s="13"/>
      <c r="AR27" s="92">
        <v>0.86419999999999997</v>
      </c>
    </row>
    <row r="28" spans="1:60" x14ac:dyDescent="0.25">
      <c r="A28" s="505"/>
      <c r="B28" s="487" t="s">
        <v>220</v>
      </c>
      <c r="C28" s="488"/>
      <c r="D28" s="488"/>
      <c r="E28" s="488"/>
      <c r="F28" s="488"/>
      <c r="G28" s="488"/>
      <c r="H28" s="488"/>
      <c r="I28" s="488"/>
      <c r="J28" s="488"/>
      <c r="K28" s="489"/>
      <c r="L28" s="313"/>
      <c r="M28" s="313"/>
      <c r="N28" s="313"/>
      <c r="O28" s="496"/>
      <c r="P28" s="497"/>
      <c r="Q28" s="313"/>
      <c r="R28" s="313"/>
      <c r="S28" s="496"/>
      <c r="T28" s="707"/>
      <c r="U28" s="702"/>
      <c r="V28" s="702"/>
      <c r="W28" s="708"/>
      <c r="X28" s="102"/>
      <c r="Y28" s="102"/>
      <c r="Z28" s="102"/>
      <c r="AA28" s="91"/>
      <c r="AB28" s="432">
        <v>45697</v>
      </c>
      <c r="AC28" s="432">
        <v>8</v>
      </c>
      <c r="AD28" s="694"/>
      <c r="AE28" s="694"/>
      <c r="AF28" s="694"/>
      <c r="AG28" s="695"/>
      <c r="AH28" s="695"/>
      <c r="AI28" s="695"/>
      <c r="AJ28" s="694"/>
      <c r="AK28" s="694"/>
      <c r="AL28" s="696"/>
      <c r="AM28" s="100"/>
      <c r="AN28" s="101">
        <v>0</v>
      </c>
      <c r="AO28" s="13"/>
      <c r="AP28" s="13"/>
    </row>
    <row r="29" spans="1:60" x14ac:dyDescent="0.25">
      <c r="A29" s="505"/>
      <c r="B29" s="487" t="s">
        <v>36</v>
      </c>
      <c r="C29" s="488"/>
      <c r="D29" s="488"/>
      <c r="E29" s="488"/>
      <c r="F29" s="488"/>
      <c r="G29" s="488"/>
      <c r="H29" s="488"/>
      <c r="I29" s="488"/>
      <c r="J29" s="488"/>
      <c r="K29" s="489"/>
      <c r="L29" s="313"/>
      <c r="M29" s="313"/>
      <c r="N29" s="313"/>
      <c r="O29" s="496"/>
      <c r="P29" s="492"/>
      <c r="Q29" s="490"/>
      <c r="R29" s="490"/>
      <c r="S29" s="491"/>
      <c r="T29" s="707">
        <v>59</v>
      </c>
      <c r="U29" s="702"/>
      <c r="V29" s="702"/>
      <c r="W29" s="708"/>
      <c r="X29" s="102"/>
      <c r="Y29" s="102"/>
      <c r="Z29" s="102"/>
      <c r="AB29" s="432">
        <v>45698</v>
      </c>
      <c r="AC29" s="432">
        <v>9</v>
      </c>
      <c r="AD29" s="694">
        <v>10</v>
      </c>
      <c r="AE29" s="694"/>
      <c r="AF29" s="694"/>
      <c r="AG29" s="695"/>
      <c r="AH29" s="695"/>
      <c r="AI29" s="695"/>
      <c r="AJ29" s="694"/>
      <c r="AK29" s="694"/>
      <c r="AL29" s="696"/>
      <c r="AM29" s="100"/>
      <c r="AN29" s="101">
        <v>10</v>
      </c>
      <c r="AO29" s="13"/>
      <c r="AP29" s="13"/>
    </row>
    <row r="30" spans="1:60" x14ac:dyDescent="0.25">
      <c r="A30" s="505"/>
      <c r="B30" s="487" t="s">
        <v>37</v>
      </c>
      <c r="C30" s="488"/>
      <c r="D30" s="488"/>
      <c r="E30" s="488"/>
      <c r="F30" s="488"/>
      <c r="G30" s="488"/>
      <c r="H30" s="488"/>
      <c r="I30" s="488"/>
      <c r="J30" s="488"/>
      <c r="K30" s="489"/>
      <c r="L30" s="490"/>
      <c r="M30" s="490"/>
      <c r="N30" s="490"/>
      <c r="O30" s="491"/>
      <c r="P30" s="492"/>
      <c r="Q30" s="490"/>
      <c r="R30" s="490"/>
      <c r="S30" s="491"/>
      <c r="T30" s="701"/>
      <c r="U30" s="702"/>
      <c r="V30" s="702"/>
      <c r="W30" s="703"/>
      <c r="X30" s="102"/>
      <c r="Y30" s="102"/>
      <c r="Z30" s="102"/>
      <c r="AA30" s="76"/>
      <c r="AB30" s="432">
        <v>45699</v>
      </c>
      <c r="AC30" s="432">
        <v>10</v>
      </c>
      <c r="AD30" s="694">
        <v>10</v>
      </c>
      <c r="AE30" s="694"/>
      <c r="AF30" s="694"/>
      <c r="AG30" s="695"/>
      <c r="AH30" s="695"/>
      <c r="AI30" s="695"/>
      <c r="AJ30" s="694"/>
      <c r="AK30" s="694"/>
      <c r="AL30" s="696"/>
      <c r="AM30" s="100"/>
      <c r="AN30" s="101">
        <v>10</v>
      </c>
      <c r="AO30" s="13"/>
      <c r="AP30" s="13"/>
      <c r="AR30" s="548" t="s">
        <v>118</v>
      </c>
      <c r="AS30" s="548"/>
      <c r="AT30" s="548"/>
      <c r="AU30" s="548"/>
    </row>
    <row r="31" spans="1:60" x14ac:dyDescent="0.25">
      <c r="A31" s="505"/>
      <c r="B31" s="487" t="s">
        <v>38</v>
      </c>
      <c r="C31" s="488"/>
      <c r="D31" s="488"/>
      <c r="E31" s="488"/>
      <c r="F31" s="488"/>
      <c r="G31" s="488"/>
      <c r="H31" s="488"/>
      <c r="I31" s="488"/>
      <c r="J31" s="488"/>
      <c r="K31" s="489"/>
      <c r="L31" s="490"/>
      <c r="M31" s="490"/>
      <c r="N31" s="490"/>
      <c r="O31" s="491"/>
      <c r="P31" s="492"/>
      <c r="Q31" s="490"/>
      <c r="R31" s="490"/>
      <c r="S31" s="491"/>
      <c r="T31" s="701"/>
      <c r="U31" s="702"/>
      <c r="V31" s="702"/>
      <c r="W31" s="703"/>
      <c r="X31" s="102"/>
      <c r="Y31" s="102"/>
      <c r="Z31" s="102"/>
      <c r="AA31" s="65"/>
      <c r="AB31" s="432">
        <v>45700</v>
      </c>
      <c r="AC31" s="432">
        <v>11</v>
      </c>
      <c r="AD31" s="694">
        <v>10</v>
      </c>
      <c r="AE31" s="694"/>
      <c r="AF31" s="694"/>
      <c r="AG31" s="695"/>
      <c r="AH31" s="695"/>
      <c r="AI31" s="695"/>
      <c r="AJ31" s="694"/>
      <c r="AK31" s="694"/>
      <c r="AL31" s="696"/>
      <c r="AM31" s="100"/>
      <c r="AN31" s="101">
        <v>10</v>
      </c>
      <c r="AO31" s="13"/>
      <c r="AP31" s="13"/>
      <c r="AR31" s="548"/>
      <c r="AS31" s="548"/>
      <c r="AT31" s="548"/>
      <c r="AU31" s="548"/>
    </row>
    <row r="32" spans="1:60" x14ac:dyDescent="0.25">
      <c r="A32" s="506"/>
      <c r="B32" s="704" t="s">
        <v>39</v>
      </c>
      <c r="C32" s="705"/>
      <c r="D32" s="705"/>
      <c r="E32" s="705"/>
      <c r="F32" s="705"/>
      <c r="G32" s="705"/>
      <c r="H32" s="705"/>
      <c r="I32" s="705"/>
      <c r="J32" s="705"/>
      <c r="K32" s="706"/>
      <c r="L32" s="481"/>
      <c r="M32" s="481"/>
      <c r="N32" s="481"/>
      <c r="O32" s="482"/>
      <c r="P32" s="483"/>
      <c r="Q32" s="481"/>
      <c r="R32" s="481"/>
      <c r="S32" s="482"/>
      <c r="T32" s="698"/>
      <c r="U32" s="699"/>
      <c r="V32" s="699"/>
      <c r="W32" s="700"/>
      <c r="X32" s="102"/>
      <c r="Y32" s="102"/>
      <c r="Z32" s="102"/>
      <c r="AA32" s="65"/>
      <c r="AB32" s="432">
        <v>45701</v>
      </c>
      <c r="AC32" s="432">
        <v>12</v>
      </c>
      <c r="AD32" s="694"/>
      <c r="AE32" s="694"/>
      <c r="AF32" s="694"/>
      <c r="AG32" s="695"/>
      <c r="AH32" s="695"/>
      <c r="AI32" s="695"/>
      <c r="AJ32" s="694"/>
      <c r="AK32" s="694"/>
      <c r="AL32" s="696"/>
      <c r="AM32" s="100"/>
      <c r="AN32" s="101">
        <v>0</v>
      </c>
      <c r="AO32" s="13"/>
      <c r="AP32" s="13"/>
      <c r="AR32" s="548"/>
      <c r="AS32" s="548"/>
      <c r="AT32" s="548"/>
      <c r="AU32" s="548"/>
    </row>
    <row r="33" spans="1:47" x14ac:dyDescent="0.25">
      <c r="L33" s="500" t="s">
        <v>40</v>
      </c>
      <c r="M33" s="501"/>
      <c r="N33" s="501"/>
      <c r="O33" s="501"/>
      <c r="P33" s="501"/>
      <c r="Q33" s="501"/>
      <c r="R33" s="501"/>
      <c r="S33" s="502"/>
      <c r="T33" s="503">
        <v>632.5</v>
      </c>
      <c r="U33" s="293"/>
      <c r="V33" s="293"/>
      <c r="W33" s="294"/>
      <c r="X33" s="103"/>
      <c r="Y33" s="103"/>
      <c r="Z33" s="103"/>
      <c r="AA33" s="65"/>
      <c r="AB33" s="432">
        <v>45702</v>
      </c>
      <c r="AC33" s="432">
        <v>13</v>
      </c>
      <c r="AD33" s="694"/>
      <c r="AE33" s="694"/>
      <c r="AF33" s="694"/>
      <c r="AG33" s="695"/>
      <c r="AH33" s="695"/>
      <c r="AI33" s="695"/>
      <c r="AJ33" s="694"/>
      <c r="AK33" s="694"/>
      <c r="AL33" s="696"/>
      <c r="AM33" s="100"/>
      <c r="AN33" s="101">
        <v>0</v>
      </c>
      <c r="AO33" s="13"/>
      <c r="AP33" s="13"/>
      <c r="AR33" s="166" t="s">
        <v>108</v>
      </c>
      <c r="AS33" s="152"/>
      <c r="AT33" s="152"/>
      <c r="AU33" s="152"/>
    </row>
    <row r="34" spans="1:47" x14ac:dyDescent="0.25">
      <c r="J34" s="61"/>
      <c r="K34" s="61"/>
      <c r="L34" s="61"/>
      <c r="M34" s="61"/>
      <c r="N34" s="61"/>
      <c r="O34" s="104"/>
      <c r="P34" s="103"/>
      <c r="Q34" s="103"/>
      <c r="R34" s="103"/>
      <c r="S34" s="103"/>
      <c r="T34" s="103"/>
      <c r="U34" s="103"/>
      <c r="V34" s="103"/>
      <c r="W34" s="103"/>
      <c r="X34" s="103"/>
      <c r="Y34" s="103"/>
      <c r="Z34" s="103"/>
      <c r="AB34" s="432">
        <v>45703</v>
      </c>
      <c r="AC34" s="432">
        <v>13</v>
      </c>
      <c r="AD34" s="694"/>
      <c r="AE34" s="694"/>
      <c r="AF34" s="694"/>
      <c r="AG34" s="695"/>
      <c r="AH34" s="695"/>
      <c r="AI34" s="695"/>
      <c r="AJ34" s="694"/>
      <c r="AK34" s="694"/>
      <c r="AL34" s="696"/>
      <c r="AM34" s="100"/>
      <c r="AN34" s="101">
        <v>0</v>
      </c>
      <c r="AO34" s="13"/>
      <c r="AP34" s="13"/>
    </row>
    <row r="35" spans="1:47" x14ac:dyDescent="0.25">
      <c r="H35" s="350" t="s">
        <v>41</v>
      </c>
      <c r="I35" s="351"/>
      <c r="J35" s="351"/>
      <c r="K35" s="351"/>
      <c r="L35" s="351"/>
      <c r="M35" s="351"/>
      <c r="N35" s="351"/>
      <c r="O35" s="351"/>
      <c r="P35" s="352"/>
      <c r="R35" s="470" t="s">
        <v>42</v>
      </c>
      <c r="S35" s="471"/>
      <c r="T35" s="471"/>
      <c r="U35" s="471"/>
      <c r="V35" s="471"/>
      <c r="W35" s="471"/>
      <c r="X35" s="471"/>
      <c r="Y35" s="471"/>
      <c r="Z35" s="472"/>
      <c r="AA35" s="65"/>
      <c r="AB35" s="432">
        <v>45704</v>
      </c>
      <c r="AC35" s="432">
        <v>15</v>
      </c>
      <c r="AD35" s="694"/>
      <c r="AE35" s="694"/>
      <c r="AF35" s="694"/>
      <c r="AG35" s="695"/>
      <c r="AH35" s="695"/>
      <c r="AI35" s="695"/>
      <c r="AJ35" s="694"/>
      <c r="AK35" s="694"/>
      <c r="AL35" s="696"/>
      <c r="AM35" s="100"/>
      <c r="AN35" s="101">
        <v>0</v>
      </c>
      <c r="AO35" s="13"/>
      <c r="AP35" s="13"/>
    </row>
    <row r="36" spans="1:47" x14ac:dyDescent="0.25">
      <c r="A36" s="460" t="s">
        <v>43</v>
      </c>
      <c r="B36" s="460"/>
      <c r="C36" s="460"/>
      <c r="D36" s="460"/>
      <c r="E36" s="460"/>
      <c r="F36" s="460"/>
      <c r="G36" s="461"/>
      <c r="H36" s="462" t="s">
        <v>22</v>
      </c>
      <c r="I36" s="463"/>
      <c r="J36" s="464"/>
      <c r="K36" s="465" t="s">
        <v>23</v>
      </c>
      <c r="L36" s="463"/>
      <c r="M36" s="464"/>
      <c r="N36" s="465" t="s">
        <v>24</v>
      </c>
      <c r="O36" s="463"/>
      <c r="P36" s="466"/>
      <c r="Q36" s="76"/>
      <c r="R36" s="467" t="s">
        <v>22</v>
      </c>
      <c r="S36" s="468"/>
      <c r="T36" s="469"/>
      <c r="U36" s="467" t="s">
        <v>23</v>
      </c>
      <c r="V36" s="468"/>
      <c r="W36" s="469"/>
      <c r="X36" s="473" t="s">
        <v>24</v>
      </c>
      <c r="Y36" s="474"/>
      <c r="Z36" s="475"/>
      <c r="AA36" s="65"/>
      <c r="AB36" s="432">
        <v>45705</v>
      </c>
      <c r="AC36" s="432">
        <v>16</v>
      </c>
      <c r="AD36" s="694">
        <v>10</v>
      </c>
      <c r="AE36" s="694"/>
      <c r="AF36" s="694"/>
      <c r="AG36" s="695"/>
      <c r="AH36" s="695"/>
      <c r="AI36" s="695"/>
      <c r="AJ36" s="694"/>
      <c r="AK36" s="694"/>
      <c r="AL36" s="696"/>
      <c r="AM36" s="100"/>
      <c r="AN36" s="101">
        <v>10</v>
      </c>
      <c r="AO36" s="13"/>
      <c r="AP36" s="13"/>
    </row>
    <row r="37" spans="1:47" x14ac:dyDescent="0.25">
      <c r="A37" s="442" t="s">
        <v>44</v>
      </c>
      <c r="B37" s="443"/>
      <c r="C37" s="443"/>
      <c r="D37" s="443"/>
      <c r="E37" s="443"/>
      <c r="F37" s="443"/>
      <c r="G37" s="444"/>
      <c r="H37" s="445"/>
      <c r="I37" s="446"/>
      <c r="J37" s="447"/>
      <c r="K37" s="448"/>
      <c r="L37" s="449"/>
      <c r="M37" s="450"/>
      <c r="N37" s="451"/>
      <c r="O37" s="452"/>
      <c r="P37" s="453"/>
      <c r="Q37" s="76"/>
      <c r="R37" s="454"/>
      <c r="S37" s="455"/>
      <c r="T37" s="456"/>
      <c r="U37" s="457"/>
      <c r="V37" s="458"/>
      <c r="W37" s="459"/>
      <c r="X37" s="476"/>
      <c r="Y37" s="476"/>
      <c r="Z37" s="477"/>
      <c r="AA37" s="65"/>
      <c r="AB37" s="432">
        <v>45706</v>
      </c>
      <c r="AC37" s="432">
        <v>17</v>
      </c>
      <c r="AD37" s="694">
        <v>10</v>
      </c>
      <c r="AE37" s="694"/>
      <c r="AF37" s="694"/>
      <c r="AG37" s="695"/>
      <c r="AH37" s="695"/>
      <c r="AI37" s="695"/>
      <c r="AJ37" s="694"/>
      <c r="AK37" s="694"/>
      <c r="AL37" s="696"/>
      <c r="AM37" s="100"/>
      <c r="AN37" s="101">
        <v>10</v>
      </c>
      <c r="AO37" s="13"/>
      <c r="AP37" s="13"/>
      <c r="AR37" s="13" t="s">
        <v>183</v>
      </c>
    </row>
    <row r="38" spans="1:47" x14ac:dyDescent="0.25">
      <c r="A38" s="436" t="s">
        <v>45</v>
      </c>
      <c r="B38" s="437"/>
      <c r="C38" s="437"/>
      <c r="D38" s="437"/>
      <c r="E38" s="437"/>
      <c r="F38" s="437"/>
      <c r="G38" s="438"/>
      <c r="H38" s="214">
        <v>632.5</v>
      </c>
      <c r="I38" s="215"/>
      <c r="J38" s="216"/>
      <c r="K38" s="217">
        <v>2.75E-2</v>
      </c>
      <c r="L38" s="218"/>
      <c r="M38" s="219"/>
      <c r="N38" s="220">
        <v>17.393799999999999</v>
      </c>
      <c r="O38" s="221"/>
      <c r="P38" s="222"/>
      <c r="Q38" s="77"/>
      <c r="R38" s="223"/>
      <c r="S38" s="224"/>
      <c r="T38" s="225"/>
      <c r="U38" s="226"/>
      <c r="V38" s="227"/>
      <c r="W38" s="228"/>
      <c r="X38" s="229"/>
      <c r="Y38" s="230"/>
      <c r="Z38" s="230"/>
      <c r="AA38" s="65"/>
      <c r="AB38" s="432">
        <v>45707</v>
      </c>
      <c r="AC38" s="432">
        <v>18</v>
      </c>
      <c r="AD38" s="694">
        <v>10</v>
      </c>
      <c r="AE38" s="694"/>
      <c r="AF38" s="694"/>
      <c r="AG38" s="695"/>
      <c r="AH38" s="695"/>
      <c r="AI38" s="695"/>
      <c r="AJ38" s="694"/>
      <c r="AK38" s="694"/>
      <c r="AL38" s="696"/>
      <c r="AM38" s="100"/>
      <c r="AN38" s="101">
        <v>10</v>
      </c>
      <c r="AO38" s="13"/>
      <c r="AP38" s="13"/>
      <c r="AR38" s="697" t="s">
        <v>185</v>
      </c>
      <c r="AS38" s="697"/>
    </row>
    <row r="39" spans="1:47" x14ac:dyDescent="0.25">
      <c r="A39" s="436"/>
      <c r="B39" s="437"/>
      <c r="C39" s="437"/>
      <c r="D39" s="437"/>
      <c r="E39" s="437"/>
      <c r="F39" s="437"/>
      <c r="G39" s="438"/>
      <c r="H39" s="214"/>
      <c r="I39" s="215"/>
      <c r="J39" s="216"/>
      <c r="K39" s="217"/>
      <c r="L39" s="218"/>
      <c r="M39" s="219"/>
      <c r="N39" s="220"/>
      <c r="O39" s="221"/>
      <c r="P39" s="222"/>
      <c r="Q39" s="77"/>
      <c r="R39" s="223"/>
      <c r="S39" s="224"/>
      <c r="T39" s="225"/>
      <c r="U39" s="226"/>
      <c r="V39" s="227"/>
      <c r="W39" s="228"/>
      <c r="X39" s="229"/>
      <c r="Y39" s="230"/>
      <c r="Z39" s="230"/>
      <c r="AA39" s="65"/>
      <c r="AB39" s="432">
        <v>45708</v>
      </c>
      <c r="AC39" s="432">
        <v>19</v>
      </c>
      <c r="AD39" s="694"/>
      <c r="AE39" s="694"/>
      <c r="AF39" s="694"/>
      <c r="AG39" s="695"/>
      <c r="AH39" s="695"/>
      <c r="AI39" s="695"/>
      <c r="AJ39" s="694"/>
      <c r="AK39" s="694"/>
      <c r="AL39" s="696"/>
      <c r="AM39" s="100"/>
      <c r="AN39" s="101">
        <v>0</v>
      </c>
      <c r="AO39" s="13"/>
      <c r="AP39" s="13"/>
    </row>
    <row r="40" spans="1:47" x14ac:dyDescent="0.25">
      <c r="A40" s="436"/>
      <c r="B40" s="437"/>
      <c r="C40" s="437"/>
      <c r="D40" s="437"/>
      <c r="E40" s="437"/>
      <c r="F40" s="437"/>
      <c r="G40" s="438"/>
      <c r="H40" s="214"/>
      <c r="I40" s="215"/>
      <c r="J40" s="216"/>
      <c r="K40" s="217"/>
      <c r="L40" s="218"/>
      <c r="M40" s="219"/>
      <c r="N40" s="220"/>
      <c r="O40" s="221"/>
      <c r="P40" s="222"/>
      <c r="Q40" s="77"/>
      <c r="R40" s="223"/>
      <c r="S40" s="224"/>
      <c r="T40" s="225"/>
      <c r="U40" s="226"/>
      <c r="V40" s="227"/>
      <c r="W40" s="228"/>
      <c r="X40" s="229"/>
      <c r="Y40" s="230"/>
      <c r="Z40" s="230"/>
      <c r="AA40" s="65"/>
      <c r="AB40" s="432">
        <v>45709</v>
      </c>
      <c r="AC40" s="432">
        <v>20</v>
      </c>
      <c r="AD40" s="694"/>
      <c r="AE40" s="694"/>
      <c r="AF40" s="694"/>
      <c r="AG40" s="695"/>
      <c r="AH40" s="695"/>
      <c r="AI40" s="695"/>
      <c r="AJ40" s="694"/>
      <c r="AK40" s="694"/>
      <c r="AL40" s="696"/>
      <c r="AM40" s="100"/>
      <c r="AN40" s="101">
        <v>0</v>
      </c>
      <c r="AO40" s="13"/>
      <c r="AP40" s="13"/>
    </row>
    <row r="41" spans="1:47" x14ac:dyDescent="0.25">
      <c r="H41" s="196"/>
      <c r="J41" s="197"/>
      <c r="K41" s="196"/>
      <c r="M41" s="197"/>
      <c r="N41" s="220"/>
      <c r="O41" s="221"/>
      <c r="P41" s="222"/>
      <c r="R41" s="223"/>
      <c r="S41" s="224"/>
      <c r="T41" s="225"/>
      <c r="U41" s="226"/>
      <c r="V41" s="227"/>
      <c r="W41" s="228"/>
      <c r="X41" s="229"/>
      <c r="Y41" s="230"/>
      <c r="Z41" s="230"/>
      <c r="AA41" s="104"/>
      <c r="AB41" s="432">
        <v>45710</v>
      </c>
      <c r="AC41" s="432">
        <v>21</v>
      </c>
      <c r="AD41" s="694"/>
      <c r="AE41" s="694"/>
      <c r="AF41" s="694"/>
      <c r="AG41" s="695"/>
      <c r="AH41" s="695"/>
      <c r="AI41" s="695"/>
      <c r="AJ41" s="694"/>
      <c r="AK41" s="694"/>
      <c r="AL41" s="696"/>
      <c r="AM41" s="100"/>
      <c r="AN41" s="101">
        <v>0</v>
      </c>
      <c r="AO41" s="13"/>
      <c r="AP41" s="13"/>
    </row>
    <row r="42" spans="1:47" x14ac:dyDescent="0.25">
      <c r="A42" s="439" t="s">
        <v>46</v>
      </c>
      <c r="B42" s="440"/>
      <c r="C42" s="440"/>
      <c r="D42" s="440"/>
      <c r="E42" s="440"/>
      <c r="F42" s="440"/>
      <c r="G42" s="441"/>
      <c r="H42" s="214"/>
      <c r="I42" s="215"/>
      <c r="J42" s="216"/>
      <c r="K42" s="217"/>
      <c r="L42" s="218"/>
      <c r="M42" s="219"/>
      <c r="N42" s="220"/>
      <c r="O42" s="221"/>
      <c r="P42" s="222"/>
      <c r="R42" s="223">
        <v>632.5</v>
      </c>
      <c r="S42" s="224"/>
      <c r="T42" s="225"/>
      <c r="U42" s="226">
        <v>1.4999999999999999E-2</v>
      </c>
      <c r="V42" s="227"/>
      <c r="W42" s="228"/>
      <c r="X42" s="229">
        <v>9.49</v>
      </c>
      <c r="Y42" s="230"/>
      <c r="Z42" s="230"/>
      <c r="AA42" s="104"/>
      <c r="AB42" s="432">
        <v>45711</v>
      </c>
      <c r="AC42" s="432">
        <v>22</v>
      </c>
      <c r="AD42" s="694"/>
      <c r="AE42" s="694"/>
      <c r="AF42" s="694"/>
      <c r="AG42" s="695"/>
      <c r="AH42" s="695"/>
      <c r="AI42" s="695"/>
      <c r="AJ42" s="694"/>
      <c r="AK42" s="694"/>
      <c r="AL42" s="696"/>
      <c r="AM42" s="100"/>
      <c r="AN42" s="101">
        <v>0</v>
      </c>
      <c r="AO42" s="13"/>
      <c r="AP42" s="13"/>
    </row>
    <row r="43" spans="1:47" x14ac:dyDescent="0.25">
      <c r="H43" s="196"/>
      <c r="J43" s="197"/>
      <c r="K43" s="217"/>
      <c r="L43" s="218"/>
      <c r="M43" s="219"/>
      <c r="N43" s="220"/>
      <c r="O43" s="221"/>
      <c r="P43" s="222"/>
      <c r="R43" s="223"/>
      <c r="S43" s="224"/>
      <c r="T43" s="225"/>
      <c r="U43" s="226"/>
      <c r="V43" s="227"/>
      <c r="W43" s="228"/>
      <c r="X43" s="229"/>
      <c r="Y43" s="230"/>
      <c r="Z43" s="230"/>
      <c r="AB43" s="432">
        <v>45712</v>
      </c>
      <c r="AC43" s="432">
        <v>23</v>
      </c>
      <c r="AD43" s="694">
        <v>10</v>
      </c>
      <c r="AE43" s="694"/>
      <c r="AF43" s="694"/>
      <c r="AG43" s="695"/>
      <c r="AH43" s="695"/>
      <c r="AI43" s="695"/>
      <c r="AJ43" s="694"/>
      <c r="AK43" s="694"/>
      <c r="AL43" s="696"/>
      <c r="AM43" s="100"/>
      <c r="AN43" s="101">
        <v>10</v>
      </c>
      <c r="AO43" s="13"/>
      <c r="AP43" s="13"/>
    </row>
    <row r="44" spans="1:47" x14ac:dyDescent="0.25">
      <c r="A44" s="439" t="s">
        <v>47</v>
      </c>
      <c r="B44" s="440"/>
      <c r="C44" s="440"/>
      <c r="D44" s="440"/>
      <c r="E44" s="440"/>
      <c r="F44" s="440"/>
      <c r="G44" s="441"/>
      <c r="H44" s="214"/>
      <c r="I44" s="215"/>
      <c r="J44" s="216"/>
      <c r="K44" s="217"/>
      <c r="L44" s="218"/>
      <c r="M44" s="219"/>
      <c r="N44" s="220"/>
      <c r="O44" s="221"/>
      <c r="P44" s="222"/>
      <c r="Q44" s="77"/>
      <c r="R44" s="223"/>
      <c r="S44" s="224"/>
      <c r="T44" s="225"/>
      <c r="U44" s="226"/>
      <c r="V44" s="227"/>
      <c r="W44" s="228"/>
      <c r="X44" s="229"/>
      <c r="Y44" s="230"/>
      <c r="Z44" s="230"/>
      <c r="AA44" s="76"/>
      <c r="AB44" s="432">
        <v>45713</v>
      </c>
      <c r="AC44" s="432">
        <v>24</v>
      </c>
      <c r="AD44" s="694">
        <v>10</v>
      </c>
      <c r="AE44" s="694"/>
      <c r="AF44" s="694"/>
      <c r="AG44" s="695"/>
      <c r="AH44" s="695"/>
      <c r="AI44" s="695"/>
      <c r="AJ44" s="694"/>
      <c r="AK44" s="694"/>
      <c r="AL44" s="696"/>
      <c r="AM44" s="100"/>
      <c r="AN44" s="101">
        <v>10</v>
      </c>
      <c r="AO44" s="13"/>
      <c r="AP44" s="13"/>
    </row>
    <row r="45" spans="1:47" x14ac:dyDescent="0.25">
      <c r="A45" s="436" t="s">
        <v>203</v>
      </c>
      <c r="B45" s="437"/>
      <c r="C45" s="437"/>
      <c r="D45" s="437"/>
      <c r="E45" s="437"/>
      <c r="F45" s="437"/>
      <c r="G45" s="438"/>
      <c r="H45" s="214">
        <v>632.5</v>
      </c>
      <c r="I45" s="215"/>
      <c r="J45" s="216"/>
      <c r="K45" s="217">
        <v>6.8199999999999997E-2</v>
      </c>
      <c r="L45" s="218"/>
      <c r="M45" s="219"/>
      <c r="N45" s="220">
        <v>43.136499999999998</v>
      </c>
      <c r="O45" s="221"/>
      <c r="P45" s="222"/>
      <c r="Q45" s="77"/>
      <c r="R45" s="223"/>
      <c r="S45" s="224"/>
      <c r="T45" s="225"/>
      <c r="U45" s="226"/>
      <c r="V45" s="227"/>
      <c r="W45" s="228"/>
      <c r="X45" s="229"/>
      <c r="Y45" s="230"/>
      <c r="Z45" s="230"/>
      <c r="AA45" s="105"/>
      <c r="AB45" s="432">
        <v>45714</v>
      </c>
      <c r="AC45" s="432">
        <v>25</v>
      </c>
      <c r="AD45" s="694">
        <v>10</v>
      </c>
      <c r="AE45" s="694"/>
      <c r="AF45" s="694"/>
      <c r="AG45" s="695"/>
      <c r="AH45" s="695"/>
      <c r="AI45" s="695"/>
      <c r="AJ45" s="694"/>
      <c r="AK45" s="694"/>
      <c r="AL45" s="696"/>
      <c r="AM45" s="100"/>
      <c r="AN45" s="101">
        <v>10</v>
      </c>
      <c r="AO45" s="13"/>
      <c r="AP45" s="13"/>
    </row>
    <row r="46" spans="1:47" x14ac:dyDescent="0.25">
      <c r="A46" s="436" t="s">
        <v>251</v>
      </c>
      <c r="B46" s="437"/>
      <c r="C46" s="437"/>
      <c r="D46" s="437"/>
      <c r="E46" s="437"/>
      <c r="F46" s="437"/>
      <c r="G46" s="438"/>
      <c r="H46" s="214">
        <v>632.5</v>
      </c>
      <c r="I46" s="215"/>
      <c r="J46" s="216"/>
      <c r="K46" s="217">
        <v>4.0099999999999997E-2</v>
      </c>
      <c r="L46" s="218"/>
      <c r="M46" s="219"/>
      <c r="N46" s="220">
        <v>25.363299999999999</v>
      </c>
      <c r="O46" s="221"/>
      <c r="P46" s="222"/>
      <c r="Q46" s="77"/>
      <c r="R46" s="223">
        <v>632.5</v>
      </c>
      <c r="S46" s="224"/>
      <c r="T46" s="225"/>
      <c r="U46" s="226">
        <v>6.0100000000000001E-2</v>
      </c>
      <c r="V46" s="227"/>
      <c r="W46" s="228"/>
      <c r="X46" s="229">
        <v>38.01</v>
      </c>
      <c r="Y46" s="230"/>
      <c r="Z46" s="230"/>
      <c r="AA46" s="105"/>
      <c r="AB46" s="432">
        <v>45715</v>
      </c>
      <c r="AC46" s="432">
        <v>26</v>
      </c>
      <c r="AD46" s="694"/>
      <c r="AE46" s="694"/>
      <c r="AF46" s="694"/>
      <c r="AG46" s="695"/>
      <c r="AH46" s="695"/>
      <c r="AI46" s="695"/>
      <c r="AJ46" s="694"/>
      <c r="AK46" s="694"/>
      <c r="AL46" s="696"/>
      <c r="AM46" s="100"/>
      <c r="AN46" s="101">
        <v>0</v>
      </c>
      <c r="AO46" s="13"/>
      <c r="AP46" s="13"/>
    </row>
    <row r="47" spans="1:47" x14ac:dyDescent="0.25">
      <c r="A47" s="190"/>
      <c r="B47" s="191"/>
      <c r="C47" s="191"/>
      <c r="D47" s="191"/>
      <c r="E47" s="191"/>
      <c r="F47" s="191"/>
      <c r="G47" s="191"/>
      <c r="H47" s="214"/>
      <c r="I47" s="215"/>
      <c r="J47" s="216"/>
      <c r="K47" s="217"/>
      <c r="L47" s="218"/>
      <c r="M47" s="219"/>
      <c r="N47" s="220"/>
      <c r="O47" s="221"/>
      <c r="P47" s="222"/>
      <c r="Q47" s="77"/>
      <c r="R47" s="223"/>
      <c r="S47" s="224"/>
      <c r="T47" s="225"/>
      <c r="U47" s="226"/>
      <c r="V47" s="227"/>
      <c r="W47" s="228"/>
      <c r="X47" s="229"/>
      <c r="Y47" s="230"/>
      <c r="Z47" s="230"/>
      <c r="AA47" s="105"/>
      <c r="AB47" s="432">
        <v>45716</v>
      </c>
      <c r="AC47" s="432">
        <v>26</v>
      </c>
      <c r="AD47" s="694"/>
      <c r="AE47" s="694"/>
      <c r="AF47" s="694"/>
      <c r="AG47" s="695"/>
      <c r="AH47" s="695"/>
      <c r="AI47" s="695"/>
      <c r="AJ47" s="694"/>
      <c r="AK47" s="694"/>
      <c r="AL47" s="696"/>
      <c r="AM47" s="100"/>
      <c r="AN47" s="101">
        <v>0</v>
      </c>
      <c r="AO47" s="13"/>
      <c r="AP47" s="13"/>
    </row>
    <row r="48" spans="1:47" x14ac:dyDescent="0.25">
      <c r="A48" s="192"/>
      <c r="B48" s="193"/>
      <c r="C48" s="193"/>
      <c r="D48" s="193"/>
      <c r="E48" s="193"/>
      <c r="F48" s="193"/>
      <c r="G48" s="193"/>
      <c r="H48" s="214"/>
      <c r="I48" s="215"/>
      <c r="J48" s="216"/>
      <c r="K48" s="217"/>
      <c r="L48" s="218"/>
      <c r="M48" s="219"/>
      <c r="N48" s="220"/>
      <c r="O48" s="221"/>
      <c r="P48" s="222"/>
      <c r="Q48" s="78"/>
      <c r="R48" s="223"/>
      <c r="S48" s="224"/>
      <c r="T48" s="225"/>
      <c r="U48" s="226"/>
      <c r="V48" s="227"/>
      <c r="W48" s="228"/>
      <c r="X48" s="229"/>
      <c r="Y48" s="230"/>
      <c r="Z48" s="230"/>
      <c r="AA48" s="105"/>
      <c r="AB48" s="432" t="s">
        <v>235</v>
      </c>
      <c r="AC48" s="432">
        <v>26</v>
      </c>
      <c r="AD48" s="694"/>
      <c r="AE48" s="694"/>
      <c r="AF48" s="694"/>
      <c r="AG48" s="695"/>
      <c r="AH48" s="695"/>
      <c r="AI48" s="695"/>
      <c r="AJ48" s="694"/>
      <c r="AK48" s="694"/>
      <c r="AL48" s="696"/>
      <c r="AM48" s="100"/>
      <c r="AN48" s="101">
        <v>0</v>
      </c>
      <c r="AO48" s="13"/>
      <c r="AP48" s="13"/>
    </row>
    <row r="49" spans="1:42" x14ac:dyDescent="0.25">
      <c r="A49" s="436"/>
      <c r="B49" s="437"/>
      <c r="C49" s="437"/>
      <c r="D49" s="437"/>
      <c r="E49" s="437"/>
      <c r="F49" s="437"/>
      <c r="G49" s="438"/>
      <c r="H49" s="214"/>
      <c r="I49" s="215"/>
      <c r="J49" s="216"/>
      <c r="K49" s="217"/>
      <c r="L49" s="218"/>
      <c r="M49" s="219"/>
      <c r="N49" s="220"/>
      <c r="O49" s="221"/>
      <c r="P49" s="222"/>
      <c r="Q49" s="77"/>
      <c r="R49" s="223"/>
      <c r="S49" s="224"/>
      <c r="T49" s="225"/>
      <c r="U49" s="226"/>
      <c r="V49" s="227"/>
      <c r="W49" s="228"/>
      <c r="X49" s="229"/>
      <c r="Y49" s="230"/>
      <c r="Z49" s="230"/>
      <c r="AA49" s="105"/>
      <c r="AB49" s="432" t="s">
        <v>235</v>
      </c>
      <c r="AC49" s="432">
        <v>26</v>
      </c>
      <c r="AD49" s="694"/>
      <c r="AE49" s="694"/>
      <c r="AF49" s="694"/>
      <c r="AG49" s="695"/>
      <c r="AH49" s="695"/>
      <c r="AI49" s="695"/>
      <c r="AJ49" s="694"/>
      <c r="AK49" s="694"/>
      <c r="AL49" s="696"/>
      <c r="AM49" s="100"/>
      <c r="AN49" s="101">
        <v>0</v>
      </c>
      <c r="AO49" s="13"/>
      <c r="AP49" s="13"/>
    </row>
    <row r="50" spans="1:42" x14ac:dyDescent="0.25">
      <c r="A50" s="190" t="s">
        <v>245</v>
      </c>
      <c r="B50" s="191"/>
      <c r="C50" s="191"/>
      <c r="D50" s="191"/>
      <c r="E50" s="191"/>
      <c r="F50" s="191"/>
      <c r="G50" s="191"/>
      <c r="H50" s="214"/>
      <c r="I50" s="215"/>
      <c r="J50" s="216"/>
      <c r="K50" s="217"/>
      <c r="L50" s="218"/>
      <c r="M50" s="219"/>
      <c r="N50" s="220"/>
      <c r="O50" s="221"/>
      <c r="P50" s="222"/>
      <c r="Q50" s="77"/>
      <c r="R50" s="223">
        <v>632.5</v>
      </c>
      <c r="S50" s="224"/>
      <c r="T50" s="225"/>
      <c r="U50" s="226">
        <v>4.0500000000000001E-2</v>
      </c>
      <c r="V50" s="227"/>
      <c r="W50" s="228"/>
      <c r="X50" s="229">
        <v>25.62</v>
      </c>
      <c r="Y50" s="230"/>
      <c r="Z50" s="230"/>
      <c r="AA50" s="105"/>
      <c r="AB50" s="432" t="s">
        <v>235</v>
      </c>
      <c r="AC50" s="432">
        <v>26</v>
      </c>
      <c r="AD50" s="694"/>
      <c r="AE50" s="694"/>
      <c r="AF50" s="694"/>
      <c r="AG50" s="695"/>
      <c r="AH50" s="695"/>
      <c r="AI50" s="695"/>
      <c r="AJ50" s="694"/>
      <c r="AK50" s="694"/>
      <c r="AL50" s="696"/>
      <c r="AM50" s="100"/>
      <c r="AN50" s="101">
        <v>0</v>
      </c>
      <c r="AO50" s="13"/>
      <c r="AP50" s="13"/>
    </row>
    <row r="51" spans="1:42" ht="15.75" thickBot="1" x14ac:dyDescent="0.3">
      <c r="H51" s="214"/>
      <c r="I51" s="215"/>
      <c r="J51" s="216"/>
      <c r="K51" s="217"/>
      <c r="L51" s="218"/>
      <c r="M51" s="219"/>
      <c r="N51" s="220"/>
      <c r="O51" s="221"/>
      <c r="P51" s="222"/>
      <c r="R51" s="223"/>
      <c r="S51" s="224"/>
      <c r="T51" s="225"/>
      <c r="U51" s="226"/>
      <c r="V51" s="227"/>
      <c r="W51" s="228"/>
      <c r="X51" s="229"/>
      <c r="Y51" s="230"/>
      <c r="Z51" s="230"/>
      <c r="AA51" s="105"/>
      <c r="AB51" s="428"/>
      <c r="AC51" s="428"/>
      <c r="AD51" s="429">
        <v>120</v>
      </c>
      <c r="AE51" s="429"/>
      <c r="AF51" s="429"/>
      <c r="AG51" s="430">
        <v>2</v>
      </c>
      <c r="AH51" s="430"/>
      <c r="AI51" s="430"/>
      <c r="AJ51" s="429">
        <v>0</v>
      </c>
      <c r="AK51" s="429"/>
      <c r="AL51" s="431"/>
      <c r="AM51" s="100"/>
      <c r="AN51" s="13"/>
      <c r="AO51" s="13"/>
      <c r="AP51" s="13"/>
    </row>
    <row r="52" spans="1:42" ht="15.75" thickTop="1" x14ac:dyDescent="0.25">
      <c r="A52" s="190"/>
      <c r="B52" s="191"/>
      <c r="C52" s="191"/>
      <c r="D52" s="191"/>
      <c r="E52" s="191"/>
      <c r="F52" s="191"/>
      <c r="G52" s="191"/>
      <c r="H52" s="214"/>
      <c r="I52" s="215"/>
      <c r="J52" s="216"/>
      <c r="K52" s="217"/>
      <c r="L52" s="218"/>
      <c r="M52" s="219"/>
      <c r="N52" s="220"/>
      <c r="O52" s="221"/>
      <c r="P52" s="222"/>
      <c r="Q52" s="77"/>
      <c r="R52" s="223"/>
      <c r="S52" s="224"/>
      <c r="T52" s="225"/>
      <c r="U52" s="226"/>
      <c r="V52" s="227"/>
      <c r="W52" s="228"/>
      <c r="X52" s="229"/>
      <c r="Y52" s="230"/>
      <c r="Z52" s="230"/>
      <c r="AA52" s="105"/>
      <c r="AB52" s="99"/>
      <c r="AC52" s="99"/>
      <c r="AD52" s="100"/>
      <c r="AE52" s="100"/>
      <c r="AF52" s="100"/>
      <c r="AG52" s="100"/>
      <c r="AH52" s="100"/>
      <c r="AI52" s="100"/>
      <c r="AJ52" s="100"/>
      <c r="AK52" s="100"/>
      <c r="AL52" s="100"/>
      <c r="AM52" s="100"/>
      <c r="AN52" s="100"/>
      <c r="AO52" s="100"/>
    </row>
    <row r="53" spans="1:42" x14ac:dyDescent="0.25">
      <c r="H53" s="214"/>
      <c r="I53" s="215"/>
      <c r="J53" s="216"/>
      <c r="K53" s="217"/>
      <c r="L53" s="218"/>
      <c r="M53" s="219"/>
      <c r="N53" s="220"/>
      <c r="O53" s="221"/>
      <c r="P53" s="222"/>
      <c r="R53" s="223"/>
      <c r="S53" s="224"/>
      <c r="T53" s="225"/>
      <c r="U53" s="226"/>
      <c r="V53" s="227"/>
      <c r="W53" s="228"/>
      <c r="X53" s="229"/>
      <c r="Y53" s="230"/>
      <c r="Z53" s="230"/>
      <c r="AA53" s="105"/>
      <c r="AB53" s="99"/>
      <c r="AC53" s="99"/>
      <c r="AD53" s="100"/>
      <c r="AE53" s="100"/>
      <c r="AF53" s="100"/>
      <c r="AG53" s="100"/>
      <c r="AH53" s="100"/>
      <c r="AI53" s="100"/>
      <c r="AJ53" s="100"/>
      <c r="AK53" s="100"/>
      <c r="AL53" s="100"/>
      <c r="AM53" s="100"/>
      <c r="AN53" s="100"/>
      <c r="AO53" s="100"/>
      <c r="AP53" s="106"/>
    </row>
    <row r="54" spans="1:42" x14ac:dyDescent="0.25">
      <c r="A54" s="190" t="s">
        <v>49</v>
      </c>
      <c r="B54" s="191"/>
      <c r="C54" s="191"/>
      <c r="D54" s="191"/>
      <c r="E54" s="191"/>
      <c r="F54" s="191"/>
      <c r="G54" s="191"/>
      <c r="H54" s="214"/>
      <c r="I54" s="215"/>
      <c r="J54" s="216"/>
      <c r="K54" s="217"/>
      <c r="L54" s="218"/>
      <c r="M54" s="219"/>
      <c r="N54" s="220"/>
      <c r="O54" s="221"/>
      <c r="P54" s="222"/>
      <c r="Q54" s="77"/>
      <c r="R54" s="223">
        <v>632.5</v>
      </c>
      <c r="S54" s="224"/>
      <c r="T54" s="225"/>
      <c r="U54" s="226">
        <v>6.6600000000000001E-3</v>
      </c>
      <c r="V54" s="227"/>
      <c r="W54" s="228"/>
      <c r="X54" s="229">
        <v>4.21</v>
      </c>
      <c r="Y54" s="230"/>
      <c r="Z54" s="230"/>
      <c r="AA54" s="105"/>
      <c r="AB54" s="99"/>
      <c r="AC54" s="99"/>
      <c r="AD54" s="100"/>
      <c r="AE54" s="100"/>
      <c r="AF54" s="100"/>
      <c r="AG54" s="100"/>
      <c r="AH54" s="100"/>
      <c r="AI54" s="100"/>
      <c r="AJ54" s="100"/>
      <c r="AK54" s="100"/>
      <c r="AL54" s="100"/>
      <c r="AM54" s="100"/>
      <c r="AN54" s="100"/>
      <c r="AO54" s="100"/>
      <c r="AP54" s="106"/>
    </row>
    <row r="55" spans="1:42" x14ac:dyDescent="0.25">
      <c r="H55" s="214"/>
      <c r="I55" s="215"/>
      <c r="J55" s="216"/>
      <c r="K55" s="217"/>
      <c r="L55" s="218"/>
      <c r="M55" s="219"/>
      <c r="N55" s="220"/>
      <c r="O55" s="221"/>
      <c r="P55" s="222"/>
      <c r="R55" s="223"/>
      <c r="S55" s="224"/>
      <c r="T55" s="225"/>
      <c r="U55" s="226"/>
      <c r="V55" s="227"/>
      <c r="W55" s="228"/>
      <c r="X55" s="229"/>
      <c r="Y55" s="230"/>
      <c r="Z55" s="230"/>
      <c r="AA55" s="105"/>
      <c r="AB55" s="99"/>
      <c r="AC55" s="99"/>
      <c r="AD55" s="100"/>
      <c r="AE55" s="100"/>
      <c r="AF55" s="100"/>
      <c r="AG55" s="100"/>
      <c r="AH55" s="100"/>
      <c r="AI55" s="100"/>
      <c r="AJ55" s="100"/>
      <c r="AK55" s="100"/>
      <c r="AL55" s="100"/>
      <c r="AM55" s="100"/>
      <c r="AN55" s="100"/>
      <c r="AO55" s="100"/>
      <c r="AP55" s="106"/>
    </row>
    <row r="56" spans="1:42" x14ac:dyDescent="0.25">
      <c r="A56" s="190"/>
      <c r="B56" s="191"/>
      <c r="C56" s="191"/>
      <c r="D56" s="191"/>
      <c r="E56" s="191"/>
      <c r="F56" s="191"/>
      <c r="G56" s="191"/>
      <c r="H56" s="214"/>
      <c r="I56" s="215"/>
      <c r="J56" s="216"/>
      <c r="K56" s="217"/>
      <c r="L56" s="218"/>
      <c r="M56" s="219"/>
      <c r="N56" s="220"/>
      <c r="O56" s="221"/>
      <c r="P56" s="222"/>
      <c r="Q56" s="77"/>
      <c r="R56" s="223"/>
      <c r="S56" s="224"/>
      <c r="T56" s="225"/>
      <c r="U56" s="226"/>
      <c r="V56" s="227"/>
      <c r="W56" s="228"/>
      <c r="X56" s="229"/>
      <c r="Y56" s="230"/>
      <c r="Z56" s="230"/>
      <c r="AA56" s="105"/>
      <c r="AB56" s="99"/>
      <c r="AC56" s="99"/>
      <c r="AD56" s="100"/>
      <c r="AE56" s="100"/>
      <c r="AF56" s="100"/>
      <c r="AG56" s="100"/>
      <c r="AH56" s="100"/>
      <c r="AI56" s="100"/>
      <c r="AJ56" s="100"/>
      <c r="AK56" s="100"/>
      <c r="AL56" s="100"/>
      <c r="AM56" s="100"/>
      <c r="AN56" s="100"/>
      <c r="AO56" s="100"/>
      <c r="AP56" s="106"/>
    </row>
    <row r="57" spans="1:42" x14ac:dyDescent="0.25">
      <c r="A57" s="278"/>
      <c r="B57" s="279"/>
      <c r="C57" s="279"/>
      <c r="D57" s="279"/>
      <c r="E57" s="279"/>
      <c r="F57" s="279"/>
      <c r="G57" s="279"/>
      <c r="H57" s="280"/>
      <c r="I57" s="281"/>
      <c r="J57" s="282"/>
      <c r="K57" s="283"/>
      <c r="L57" s="284"/>
      <c r="M57" s="285"/>
      <c r="N57" s="280"/>
      <c r="O57" s="281"/>
      <c r="P57" s="282"/>
      <c r="Q57" s="77"/>
      <c r="R57" s="286"/>
      <c r="S57" s="287"/>
      <c r="T57" s="288"/>
      <c r="U57" s="289"/>
      <c r="V57" s="290"/>
      <c r="W57" s="291"/>
      <c r="X57" s="229"/>
      <c r="Y57" s="230"/>
      <c r="Z57" s="230"/>
      <c r="AA57" s="105"/>
      <c r="AB57" s="99"/>
      <c r="AC57" s="99"/>
      <c r="AD57" s="100"/>
      <c r="AE57" s="100"/>
      <c r="AF57" s="100"/>
      <c r="AG57" s="100"/>
      <c r="AH57" s="100"/>
      <c r="AI57" s="100"/>
      <c r="AJ57" s="100"/>
      <c r="AK57" s="100"/>
      <c r="AL57" s="100"/>
      <c r="AM57" s="100"/>
      <c r="AN57" s="100"/>
      <c r="AO57" s="100"/>
      <c r="AP57" s="106"/>
    </row>
    <row r="58" spans="1:42" x14ac:dyDescent="0.25">
      <c r="A58" s="79"/>
      <c r="B58" s="79"/>
      <c r="C58" s="79"/>
      <c r="D58" s="79"/>
      <c r="E58" s="79"/>
      <c r="F58" s="79"/>
      <c r="G58" s="79"/>
      <c r="H58" s="416" t="s">
        <v>54</v>
      </c>
      <c r="I58" s="417"/>
      <c r="J58" s="417"/>
      <c r="K58" s="417"/>
      <c r="L58" s="417"/>
      <c r="M58" s="417"/>
      <c r="N58" s="418">
        <v>85.893599999999992</v>
      </c>
      <c r="O58" s="418"/>
      <c r="P58" s="419"/>
      <c r="Q58" s="80"/>
      <c r="R58" s="416" t="s">
        <v>55</v>
      </c>
      <c r="S58" s="420"/>
      <c r="T58" s="420"/>
      <c r="U58" s="420"/>
      <c r="V58" s="420"/>
      <c r="W58" s="421"/>
      <c r="X58" s="422">
        <v>77.33</v>
      </c>
      <c r="Y58" s="423"/>
      <c r="Z58" s="424"/>
      <c r="AA58" s="105"/>
      <c r="AB58" s="99"/>
      <c r="AC58" s="99"/>
      <c r="AD58" s="100"/>
      <c r="AE58" s="100"/>
      <c r="AF58" s="100"/>
      <c r="AG58" s="100"/>
      <c r="AH58" s="100"/>
      <c r="AI58" s="100"/>
      <c r="AJ58" s="100"/>
      <c r="AK58" s="100"/>
      <c r="AL58" s="100"/>
      <c r="AM58" s="100"/>
      <c r="AN58" s="100"/>
      <c r="AO58" s="100"/>
      <c r="AP58" s="106"/>
    </row>
    <row r="59" spans="1:42" x14ac:dyDescent="0.25">
      <c r="A59" s="79"/>
      <c r="B59" s="79"/>
      <c r="C59" s="79"/>
      <c r="D59" s="79"/>
      <c r="E59" s="79"/>
      <c r="F59" s="79"/>
      <c r="G59" s="79"/>
      <c r="H59" s="425" t="s">
        <v>56</v>
      </c>
      <c r="I59" s="425"/>
      <c r="J59" s="425"/>
      <c r="K59" s="425"/>
      <c r="L59" s="425"/>
      <c r="M59" s="425"/>
      <c r="N59" s="426">
        <v>546.60640000000001</v>
      </c>
      <c r="O59" s="426"/>
      <c r="P59" s="426"/>
      <c r="Q59" s="80"/>
      <c r="R59" s="80"/>
      <c r="S59" s="80"/>
      <c r="T59" s="80"/>
      <c r="U59" s="80"/>
      <c r="V59" s="80"/>
      <c r="W59" s="80"/>
      <c r="X59" s="80"/>
      <c r="Y59" s="80"/>
      <c r="Z59" s="80"/>
      <c r="AA59" s="105"/>
      <c r="AB59" s="99"/>
      <c r="AC59" s="99"/>
      <c r="AD59" s="100"/>
      <c r="AE59" s="100"/>
      <c r="AF59" s="100"/>
      <c r="AG59" s="100"/>
      <c r="AH59" s="100"/>
      <c r="AI59" s="100"/>
      <c r="AJ59" s="100"/>
      <c r="AK59" s="100"/>
      <c r="AL59" s="100"/>
      <c r="AM59" s="106"/>
      <c r="AP59" s="106"/>
    </row>
    <row r="60" spans="1:42" x14ac:dyDescent="0.25">
      <c r="R60" s="296" t="s">
        <v>57</v>
      </c>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298"/>
      <c r="AP60" s="106"/>
    </row>
    <row r="61" spans="1:42" x14ac:dyDescent="0.25">
      <c r="A61" s="299" t="s">
        <v>58</v>
      </c>
      <c r="B61" s="299"/>
      <c r="C61" s="299"/>
      <c r="D61" s="299"/>
      <c r="E61" s="299"/>
      <c r="F61" s="299"/>
      <c r="G61" s="299"/>
      <c r="H61" s="299" t="s">
        <v>22</v>
      </c>
      <c r="I61" s="299"/>
      <c r="J61" s="299"/>
      <c r="K61" s="299" t="s">
        <v>23</v>
      </c>
      <c r="L61" s="299"/>
      <c r="M61" s="299"/>
      <c r="N61" s="299" t="s">
        <v>24</v>
      </c>
      <c r="O61" s="299"/>
      <c r="P61" s="299"/>
      <c r="Q61" s="76"/>
      <c r="R61" s="321" t="s">
        <v>59</v>
      </c>
      <c r="S61" s="304"/>
      <c r="T61" s="304"/>
      <c r="U61" s="304"/>
      <c r="V61" s="304"/>
      <c r="W61" s="304"/>
      <c r="X61" s="304" t="s">
        <v>60</v>
      </c>
      <c r="Y61" s="304"/>
      <c r="Z61" s="304"/>
      <c r="AA61" s="107"/>
      <c r="AB61" s="108"/>
      <c r="AC61" s="304" t="s">
        <v>61</v>
      </c>
      <c r="AD61" s="304"/>
      <c r="AE61" s="304"/>
      <c r="AF61" s="304"/>
      <c r="AG61" s="304"/>
      <c r="AH61" s="304"/>
      <c r="AI61" s="304"/>
      <c r="AJ61" s="304"/>
      <c r="AK61" s="304"/>
      <c r="AL61" s="304"/>
      <c r="AM61" s="304"/>
      <c r="AN61" s="304"/>
      <c r="AO61" s="305"/>
      <c r="AP61" s="106"/>
    </row>
    <row r="62" spans="1:42" x14ac:dyDescent="0.25">
      <c r="A62" s="549" t="s">
        <v>120</v>
      </c>
      <c r="B62" s="85" t="s">
        <v>62</v>
      </c>
      <c r="C62" s="86"/>
      <c r="D62" s="86"/>
      <c r="E62" s="86"/>
      <c r="F62" s="86"/>
      <c r="G62" s="109"/>
      <c r="H62" s="677">
        <v>13</v>
      </c>
      <c r="I62" s="678"/>
      <c r="J62" s="679"/>
      <c r="K62" s="680">
        <v>4.2</v>
      </c>
      <c r="L62" s="681"/>
      <c r="M62" s="682"/>
      <c r="N62" s="328">
        <v>54.6</v>
      </c>
      <c r="O62" s="328"/>
      <c r="P62" s="328"/>
      <c r="Q62" s="105"/>
      <c r="R62" s="302" t="s">
        <v>63</v>
      </c>
      <c r="S62" s="303"/>
      <c r="T62" s="303"/>
      <c r="U62" s="303"/>
      <c r="V62" s="303"/>
      <c r="W62" s="303"/>
      <c r="X62" s="303"/>
      <c r="Y62" s="303"/>
      <c r="Z62" s="303"/>
      <c r="AA62" s="107"/>
      <c r="AB62" s="108"/>
      <c r="AC62" s="303" t="s">
        <v>64</v>
      </c>
      <c r="AD62" s="303"/>
      <c r="AE62" s="303"/>
      <c r="AF62" s="303"/>
      <c r="AG62" s="303"/>
      <c r="AH62" s="303"/>
      <c r="AI62" s="303"/>
      <c r="AJ62" s="303"/>
      <c r="AK62" s="303"/>
      <c r="AL62" s="303"/>
      <c r="AM62" s="303"/>
      <c r="AN62" s="303"/>
      <c r="AO62" s="427"/>
      <c r="AP62" s="106"/>
    </row>
    <row r="63" spans="1:42" x14ac:dyDescent="0.25">
      <c r="A63" s="550"/>
      <c r="B63" s="110" t="s">
        <v>102</v>
      </c>
      <c r="G63" s="111"/>
      <c r="H63" s="683"/>
      <c r="I63" s="684"/>
      <c r="J63" s="685"/>
      <c r="K63" s="686"/>
      <c r="L63" s="687"/>
      <c r="M63" s="688"/>
      <c r="N63" s="221">
        <v>0</v>
      </c>
      <c r="O63" s="221"/>
      <c r="P63" s="221"/>
      <c r="Q63" s="105"/>
      <c r="R63" s="302" t="s">
        <v>65</v>
      </c>
      <c r="S63" s="303"/>
      <c r="T63" s="303"/>
      <c r="U63" s="303"/>
      <c r="V63" s="303"/>
      <c r="W63" s="303"/>
      <c r="X63" s="303"/>
      <c r="Y63" s="303"/>
      <c r="Z63" s="303"/>
      <c r="AA63" s="107"/>
      <c r="AB63" s="108"/>
      <c r="AC63" s="304" t="s">
        <v>66</v>
      </c>
      <c r="AD63" s="304"/>
      <c r="AE63" s="304"/>
      <c r="AF63" s="304"/>
      <c r="AG63" s="304"/>
      <c r="AH63" s="304"/>
      <c r="AI63" s="304"/>
      <c r="AJ63" s="304"/>
      <c r="AK63" s="304"/>
      <c r="AL63" s="304"/>
      <c r="AM63" s="304"/>
      <c r="AN63" s="304"/>
      <c r="AO63" s="305"/>
    </row>
    <row r="64" spans="1:42" x14ac:dyDescent="0.25">
      <c r="A64" s="550"/>
      <c r="B64" s="110" t="s">
        <v>67</v>
      </c>
      <c r="G64" s="111"/>
      <c r="H64" s="689">
        <v>13</v>
      </c>
      <c r="I64" s="690"/>
      <c r="J64" s="691"/>
      <c r="K64" s="686">
        <v>4</v>
      </c>
      <c r="L64" s="687"/>
      <c r="M64" s="688"/>
      <c r="N64" s="221">
        <v>52</v>
      </c>
      <c r="O64" s="221"/>
      <c r="P64" s="221"/>
      <c r="Q64" s="112"/>
      <c r="R64" s="414" t="s">
        <v>68</v>
      </c>
      <c r="S64" s="415"/>
      <c r="T64" s="415"/>
      <c r="U64" s="415"/>
      <c r="V64" s="415"/>
      <c r="W64" s="415"/>
      <c r="X64" s="415"/>
      <c r="Y64" s="415"/>
      <c r="Z64" s="415"/>
      <c r="AA64" s="113"/>
      <c r="AB64" s="114"/>
      <c r="AC64" s="412" t="s">
        <v>69</v>
      </c>
      <c r="AD64" s="412"/>
      <c r="AE64" s="412"/>
      <c r="AF64" s="412"/>
      <c r="AG64" s="412"/>
      <c r="AH64" s="412"/>
      <c r="AI64" s="412"/>
      <c r="AJ64" s="412"/>
      <c r="AK64" s="412"/>
      <c r="AL64" s="412"/>
      <c r="AM64" s="412"/>
      <c r="AN64" s="412"/>
      <c r="AO64" s="413"/>
      <c r="AP64" s="115"/>
    </row>
    <row r="65" spans="1:42" x14ac:dyDescent="0.25">
      <c r="A65" s="550"/>
      <c r="B65" s="110" t="s">
        <v>70</v>
      </c>
      <c r="G65" s="111"/>
      <c r="H65" s="689">
        <v>13</v>
      </c>
      <c r="I65" s="690"/>
      <c r="J65" s="691"/>
      <c r="K65" s="686">
        <v>1</v>
      </c>
      <c r="L65" s="687"/>
      <c r="M65" s="688"/>
      <c r="N65" s="221">
        <v>13</v>
      </c>
      <c r="O65" s="221"/>
      <c r="P65" s="221"/>
      <c r="R65" s="116"/>
      <c r="S65" s="117"/>
      <c r="T65" s="117"/>
      <c r="U65" s="117"/>
      <c r="V65" s="117"/>
      <c r="W65" s="117"/>
      <c r="X65" s="118"/>
      <c r="Y65" s="118"/>
      <c r="Z65" s="118"/>
      <c r="AA65" s="118"/>
      <c r="AB65" s="118"/>
      <c r="AC65" s="118"/>
      <c r="AD65" s="118"/>
      <c r="AE65" s="118"/>
      <c r="AF65" s="118"/>
      <c r="AG65" s="118"/>
      <c r="AH65" s="118"/>
      <c r="AI65" s="118"/>
      <c r="AJ65" s="118"/>
      <c r="AK65" s="118"/>
      <c r="AL65" s="118"/>
      <c r="AM65" s="118"/>
      <c r="AN65" s="118"/>
      <c r="AO65" s="118"/>
      <c r="AP65" s="115"/>
    </row>
    <row r="66" spans="1:42" x14ac:dyDescent="0.25">
      <c r="A66" s="550"/>
      <c r="B66" s="110" t="s">
        <v>71</v>
      </c>
      <c r="G66" s="111"/>
      <c r="H66" s="692"/>
      <c r="I66" s="692"/>
      <c r="J66" s="692"/>
      <c r="K66" s="693"/>
      <c r="L66" s="693"/>
      <c r="M66" s="693"/>
      <c r="N66" s="221">
        <v>0</v>
      </c>
      <c r="O66" s="221"/>
      <c r="P66" s="221"/>
      <c r="Q66" s="91"/>
      <c r="R66" s="200" t="s">
        <v>72</v>
      </c>
      <c r="S66" s="201"/>
      <c r="T66" s="201"/>
      <c r="U66" s="201"/>
      <c r="V66" s="201"/>
      <c r="W66" s="201"/>
      <c r="X66" s="201"/>
      <c r="Y66" s="201"/>
      <c r="Z66" s="201"/>
      <c r="AA66" s="202"/>
      <c r="AB66" s="202"/>
      <c r="AC66" s="79"/>
      <c r="AD66" s="316" t="s">
        <v>73</v>
      </c>
      <c r="AE66" s="317"/>
      <c r="AF66" s="317"/>
      <c r="AG66" s="317"/>
      <c r="AH66" s="317"/>
      <c r="AI66" s="317"/>
      <c r="AJ66" s="317"/>
      <c r="AK66" s="318"/>
      <c r="AL66" s="301">
        <v>12</v>
      </c>
      <c r="AM66" s="301"/>
      <c r="AN66" s="301"/>
      <c r="AO66" s="301"/>
      <c r="AP66" s="119"/>
    </row>
    <row r="67" spans="1:42" x14ac:dyDescent="0.25">
      <c r="A67" s="551"/>
      <c r="B67" s="15" t="s">
        <v>119</v>
      </c>
      <c r="C67" s="674"/>
      <c r="D67" s="674"/>
      <c r="E67" s="674"/>
      <c r="F67" s="674"/>
      <c r="G67" s="675"/>
      <c r="H67" s="221"/>
      <c r="I67" s="221"/>
      <c r="J67" s="221"/>
      <c r="K67" s="319"/>
      <c r="L67" s="319"/>
      <c r="M67" s="319"/>
      <c r="N67" s="676"/>
      <c r="O67" s="676"/>
      <c r="P67" s="676"/>
      <c r="R67" s="203" t="s">
        <v>74</v>
      </c>
      <c r="S67" s="204"/>
      <c r="T67" s="204"/>
      <c r="U67" s="201"/>
      <c r="V67" s="201"/>
      <c r="W67" s="201"/>
      <c r="X67" s="201"/>
      <c r="Y67" s="201"/>
      <c r="Z67" s="320"/>
      <c r="AA67" s="320"/>
      <c r="AB67" s="320"/>
      <c r="AC67" s="79"/>
      <c r="AD67" s="316" t="s">
        <v>75</v>
      </c>
      <c r="AE67" s="317"/>
      <c r="AF67" s="317"/>
      <c r="AG67" s="317"/>
      <c r="AH67" s="317"/>
      <c r="AI67" s="317"/>
      <c r="AJ67" s="317"/>
      <c r="AK67" s="318"/>
      <c r="AL67" s="301">
        <v>12</v>
      </c>
      <c r="AM67" s="301"/>
      <c r="AN67" s="301"/>
      <c r="AO67" s="301"/>
    </row>
    <row r="68" spans="1:42" x14ac:dyDescent="0.25">
      <c r="A68" s="14" t="s">
        <v>121</v>
      </c>
      <c r="B68" s="552" t="s">
        <v>122</v>
      </c>
      <c r="C68" s="552"/>
      <c r="D68" s="552"/>
      <c r="E68" s="552"/>
      <c r="F68" s="552"/>
      <c r="G68" s="553"/>
      <c r="H68" s="673">
        <v>55</v>
      </c>
      <c r="I68" s="673"/>
      <c r="J68" s="673"/>
      <c r="K68" s="392"/>
      <c r="L68" s="392"/>
      <c r="M68" s="392"/>
      <c r="N68" s="393">
        <v>55</v>
      </c>
      <c r="O68" s="393"/>
      <c r="P68" s="393"/>
      <c r="R68" s="201" t="s">
        <v>76</v>
      </c>
      <c r="S68" s="201"/>
      <c r="T68" s="201"/>
      <c r="U68" s="201"/>
      <c r="V68" s="201"/>
      <c r="W68" s="201"/>
      <c r="X68" s="201"/>
      <c r="Y68" s="201"/>
      <c r="Z68" s="320">
        <v>0</v>
      </c>
      <c r="AA68" s="320"/>
      <c r="AB68" s="320"/>
      <c r="AC68" s="79"/>
      <c r="AD68" s="316" t="s">
        <v>77</v>
      </c>
      <c r="AE68" s="317"/>
      <c r="AF68" s="317"/>
      <c r="AG68" s="317"/>
      <c r="AH68" s="317"/>
      <c r="AI68" s="317"/>
      <c r="AJ68" s="317"/>
      <c r="AK68" s="318"/>
      <c r="AL68" s="394">
        <v>0</v>
      </c>
      <c r="AM68" s="394"/>
      <c r="AN68" s="394"/>
      <c r="AO68" s="394"/>
    </row>
    <row r="69" spans="1:42" x14ac:dyDescent="0.25">
      <c r="N69" s="292">
        <v>174.6</v>
      </c>
      <c r="O69" s="293"/>
      <c r="P69" s="294"/>
      <c r="R69" s="107"/>
      <c r="S69" s="107"/>
      <c r="T69" s="107"/>
      <c r="U69" s="107"/>
      <c r="V69" s="107"/>
      <c r="W69" s="107"/>
      <c r="X69" s="107"/>
      <c r="Y69" s="107"/>
      <c r="Z69" s="107"/>
      <c r="AA69" s="79"/>
      <c r="AB69" s="79"/>
      <c r="AC69" s="79"/>
      <c r="AD69" s="79"/>
      <c r="AE69" s="79"/>
      <c r="AF69" s="79"/>
      <c r="AG69" s="79"/>
      <c r="AH69" s="79"/>
      <c r="AI69" s="79"/>
      <c r="AJ69" s="79"/>
      <c r="AK69" s="79"/>
      <c r="AL69" s="79"/>
      <c r="AM69" s="79"/>
      <c r="AN69" s="79"/>
      <c r="AO69" s="79"/>
      <c r="AP69" s="119"/>
    </row>
    <row r="70" spans="1:42" ht="9" customHeight="1" x14ac:dyDescent="0.25">
      <c r="N70" s="112"/>
      <c r="O70" s="112"/>
      <c r="P70" s="112"/>
      <c r="R70" s="107"/>
      <c r="S70" s="107"/>
      <c r="T70" s="107"/>
      <c r="U70" s="107"/>
      <c r="V70" s="107"/>
      <c r="W70" s="107"/>
      <c r="X70" s="107"/>
      <c r="Y70" s="107"/>
      <c r="Z70" s="107"/>
      <c r="AA70" s="79"/>
      <c r="AB70" s="79"/>
      <c r="AC70" s="79"/>
      <c r="AD70" s="79"/>
      <c r="AE70" s="79"/>
      <c r="AF70" s="79"/>
      <c r="AG70" s="79"/>
      <c r="AH70" s="79"/>
      <c r="AI70" s="79"/>
      <c r="AJ70" s="79"/>
      <c r="AK70" s="79"/>
      <c r="AL70" s="79"/>
      <c r="AM70" s="79"/>
      <c r="AN70" s="79"/>
      <c r="AO70" s="79"/>
      <c r="AP70" s="119"/>
    </row>
    <row r="71" spans="1:42" x14ac:dyDescent="0.25">
      <c r="E71" s="556" t="s">
        <v>126</v>
      </c>
      <c r="F71" s="556"/>
      <c r="G71" s="556"/>
      <c r="H71" s="556" t="s">
        <v>127</v>
      </c>
      <c r="I71" s="556"/>
      <c r="J71" s="556"/>
      <c r="K71" s="556"/>
      <c r="L71" s="309" t="s">
        <v>219</v>
      </c>
      <c r="M71" s="309"/>
      <c r="N71" s="309"/>
      <c r="O71" s="309"/>
      <c r="P71" s="309"/>
      <c r="Q71" s="310">
        <v>601.60640000000001</v>
      </c>
      <c r="R71" s="311"/>
      <c r="S71" s="311"/>
      <c r="T71" s="312"/>
      <c r="U71" s="107"/>
      <c r="V71" s="107"/>
      <c r="W71" s="107"/>
      <c r="X71" s="107"/>
      <c r="Y71" s="107"/>
      <c r="Z71" s="313"/>
      <c r="AA71" s="313"/>
      <c r="AB71" s="313"/>
      <c r="AC71" s="313"/>
      <c r="AD71" s="313"/>
      <c r="AE71" s="313"/>
      <c r="AF71" s="313"/>
      <c r="AG71" s="313"/>
      <c r="AH71" s="313"/>
      <c r="AI71" s="313"/>
      <c r="AJ71" s="313"/>
      <c r="AK71" s="313"/>
      <c r="AL71" s="300"/>
      <c r="AM71" s="300"/>
      <c r="AN71" s="300"/>
      <c r="AO71" s="300"/>
    </row>
    <row r="72" spans="1:42" x14ac:dyDescent="0.25">
      <c r="A72" s="609" t="s">
        <v>78</v>
      </c>
      <c r="B72" s="610"/>
      <c r="C72" s="610"/>
      <c r="D72" s="611"/>
      <c r="E72" s="612">
        <v>473.11</v>
      </c>
      <c r="F72" s="613"/>
      <c r="G72" s="614"/>
      <c r="H72" s="670"/>
      <c r="I72" s="671"/>
      <c r="J72" s="671"/>
      <c r="K72" s="672"/>
      <c r="U72" s="107"/>
      <c r="V72" s="107"/>
      <c r="W72" s="107"/>
      <c r="X72" s="107"/>
      <c r="Y72" s="107"/>
      <c r="Z72" s="313"/>
      <c r="AA72" s="313"/>
      <c r="AB72" s="313"/>
      <c r="AC72" s="313"/>
      <c r="AD72" s="313"/>
      <c r="AE72" s="313"/>
      <c r="AF72" s="313"/>
      <c r="AG72" s="313"/>
      <c r="AH72" s="313"/>
      <c r="AI72" s="313"/>
      <c r="AJ72" s="313"/>
      <c r="AK72" s="313"/>
      <c r="AL72" s="300"/>
      <c r="AM72" s="300"/>
      <c r="AN72" s="300"/>
      <c r="AO72" s="300"/>
      <c r="AP72" s="103"/>
    </row>
    <row r="73" spans="1:42" x14ac:dyDescent="0.25">
      <c r="A73" s="618" t="s">
        <v>83</v>
      </c>
      <c r="B73" s="242"/>
      <c r="C73" s="242"/>
      <c r="D73" s="619"/>
      <c r="E73" s="620">
        <v>119.6</v>
      </c>
      <c r="F73" s="621"/>
      <c r="G73" s="622"/>
      <c r="H73" s="663"/>
      <c r="I73" s="664"/>
      <c r="J73" s="664"/>
      <c r="K73" s="665"/>
      <c r="L73" s="272" t="s">
        <v>79</v>
      </c>
      <c r="M73" s="273"/>
      <c r="N73" s="273"/>
      <c r="O73" s="273"/>
      <c r="P73" s="274"/>
      <c r="Q73" s="245">
        <v>721.20640000000003</v>
      </c>
      <c r="R73" s="246"/>
      <c r="S73" s="246"/>
      <c r="T73" s="247"/>
      <c r="U73" s="107"/>
      <c r="V73" s="107"/>
      <c r="W73" s="107"/>
      <c r="X73" s="107"/>
      <c r="Y73" s="107"/>
      <c r="Z73" s="79"/>
      <c r="AA73" s="79"/>
      <c r="AB73" s="79"/>
      <c r="AC73" s="79"/>
      <c r="AD73" s="79"/>
      <c r="AE73" s="79"/>
      <c r="AF73" s="79"/>
      <c r="AG73" s="79"/>
      <c r="AH73" s="79"/>
      <c r="AI73" s="79"/>
      <c r="AJ73" s="79"/>
      <c r="AK73" s="79"/>
      <c r="AM73" s="79"/>
      <c r="AN73" s="79"/>
      <c r="AO73" s="79"/>
      <c r="AP73" s="103"/>
    </row>
    <row r="74" spans="1:42" x14ac:dyDescent="0.25">
      <c r="A74" s="618" t="s">
        <v>125</v>
      </c>
      <c r="B74" s="242"/>
      <c r="C74" s="242"/>
      <c r="D74" s="619"/>
      <c r="E74" s="620">
        <v>0</v>
      </c>
      <c r="F74" s="621"/>
      <c r="G74" s="622"/>
      <c r="H74" s="663"/>
      <c r="I74" s="664"/>
      <c r="J74" s="664"/>
      <c r="K74" s="665"/>
      <c r="U74" s="107"/>
      <c r="V74" s="107"/>
      <c r="W74" s="107"/>
      <c r="X74" s="107"/>
      <c r="Y74" s="107"/>
      <c r="Z74" s="316" t="s">
        <v>82</v>
      </c>
      <c r="AA74" s="317"/>
      <c r="AB74" s="317"/>
      <c r="AC74" s="317"/>
      <c r="AD74" s="317"/>
      <c r="AE74" s="317"/>
      <c r="AF74" s="317"/>
      <c r="AG74" s="317"/>
      <c r="AH74" s="317"/>
      <c r="AI74" s="317"/>
      <c r="AJ74" s="317"/>
      <c r="AK74" s="318"/>
      <c r="AL74" s="370">
        <v>666.21</v>
      </c>
      <c r="AM74" s="370"/>
      <c r="AN74" s="370"/>
      <c r="AO74" s="370"/>
    </row>
    <row r="75" spans="1:42" x14ac:dyDescent="0.25">
      <c r="A75" s="596" t="s">
        <v>80</v>
      </c>
      <c r="B75" s="597"/>
      <c r="C75" s="597"/>
      <c r="D75" s="598"/>
      <c r="E75" s="599">
        <v>73.5</v>
      </c>
      <c r="F75" s="600"/>
      <c r="G75" s="601"/>
      <c r="H75" s="666"/>
      <c r="I75" s="667"/>
      <c r="J75" s="667"/>
      <c r="K75" s="668"/>
      <c r="L75" s="275" t="s">
        <v>81</v>
      </c>
      <c r="M75" s="276"/>
      <c r="N75" s="276"/>
      <c r="O75" s="276"/>
      <c r="P75" s="277"/>
      <c r="Q75" s="245">
        <v>0</v>
      </c>
      <c r="R75" s="246"/>
      <c r="S75" s="246"/>
      <c r="T75" s="247"/>
      <c r="U75" s="107"/>
      <c r="V75" s="107"/>
      <c r="W75" s="107"/>
      <c r="X75" s="107"/>
      <c r="Y75" s="107"/>
      <c r="Z75" s="316" t="s">
        <v>84</v>
      </c>
      <c r="AA75" s="317"/>
      <c r="AB75" s="317"/>
      <c r="AC75" s="317"/>
      <c r="AD75" s="317"/>
      <c r="AE75" s="317"/>
      <c r="AF75" s="317"/>
      <c r="AG75" s="317"/>
      <c r="AH75" s="317"/>
      <c r="AI75" s="317"/>
      <c r="AJ75" s="317"/>
      <c r="AK75" s="318"/>
      <c r="AL75" s="669">
        <v>0</v>
      </c>
      <c r="AM75" s="669"/>
      <c r="AN75" s="669"/>
      <c r="AO75" s="669"/>
    </row>
    <row r="76" spans="1:42" ht="8.25" customHeight="1" x14ac:dyDescent="0.25">
      <c r="AE76" s="74"/>
      <c r="AH76" s="74"/>
      <c r="AI76" s="76"/>
      <c r="AP76" s="93"/>
    </row>
    <row r="77" spans="1:42" x14ac:dyDescent="0.25">
      <c r="A77" s="242" t="s">
        <v>86</v>
      </c>
      <c r="B77" s="242"/>
      <c r="C77" s="242"/>
      <c r="D77" s="242"/>
      <c r="E77" s="243"/>
      <c r="F77" s="651" t="s">
        <v>217</v>
      </c>
      <c r="G77" s="652"/>
      <c r="H77" s="653"/>
      <c r="K77" s="378" t="s">
        <v>85</v>
      </c>
      <c r="L77" s="378"/>
      <c r="M77" s="378"/>
      <c r="N77" s="378"/>
      <c r="O77" s="378"/>
      <c r="P77" s="378"/>
      <c r="Q77" s="379"/>
      <c r="R77" s="379"/>
      <c r="S77" s="379"/>
      <c r="T77" s="379"/>
      <c r="V77" s="654" t="s">
        <v>87</v>
      </c>
      <c r="W77" s="655"/>
      <c r="X77" s="655"/>
      <c r="Y77" s="655"/>
      <c r="Z77" s="655"/>
      <c r="AA77" s="655"/>
      <c r="AB77" s="655"/>
      <c r="AC77" s="655"/>
      <c r="AD77" s="655"/>
      <c r="AE77" s="655"/>
      <c r="AF77" s="656"/>
      <c r="AH77" s="74"/>
      <c r="AI77" s="76"/>
      <c r="AP77" s="93"/>
    </row>
    <row r="78" spans="1:42" ht="15.75" x14ac:dyDescent="0.25">
      <c r="A78" s="242" t="s">
        <v>88</v>
      </c>
      <c r="B78" s="242"/>
      <c r="C78" s="242"/>
      <c r="D78" s="242"/>
      <c r="E78" s="243"/>
      <c r="F78" s="645">
        <v>721.20640000000003</v>
      </c>
      <c r="G78" s="646"/>
      <c r="H78" s="647"/>
      <c r="M78" s="120"/>
      <c r="N78" s="103"/>
      <c r="O78" s="103"/>
      <c r="P78" s="103"/>
      <c r="V78" s="657"/>
      <c r="W78" s="658"/>
      <c r="X78" s="658"/>
      <c r="Y78" s="658"/>
      <c r="Z78" s="658"/>
      <c r="AA78" s="658"/>
      <c r="AB78" s="658"/>
      <c r="AC78" s="658"/>
      <c r="AD78" s="658"/>
      <c r="AE78" s="658"/>
      <c r="AF78" s="659"/>
      <c r="AH78" s="257" t="s">
        <v>90</v>
      </c>
      <c r="AI78" s="258"/>
      <c r="AJ78" s="258"/>
      <c r="AK78" s="259"/>
      <c r="AL78" s="263" t="s">
        <v>91</v>
      </c>
      <c r="AM78" s="264"/>
      <c r="AN78" s="264"/>
      <c r="AO78" s="265"/>
      <c r="AP78" s="76"/>
    </row>
    <row r="79" spans="1:42" ht="15" customHeight="1" x14ac:dyDescent="0.25">
      <c r="A79" s="242" t="s">
        <v>92</v>
      </c>
      <c r="B79" s="242"/>
      <c r="C79" s="242"/>
      <c r="D79" s="242"/>
      <c r="E79" s="243"/>
      <c r="F79" s="660" t="s">
        <v>93</v>
      </c>
      <c r="G79" s="652"/>
      <c r="H79" s="653"/>
      <c r="L79" s="410" t="s">
        <v>89</v>
      </c>
      <c r="M79" s="410"/>
      <c r="N79" s="410"/>
      <c r="O79" s="410"/>
      <c r="P79" s="411"/>
      <c r="Q79" s="245">
        <v>721.20640000000003</v>
      </c>
      <c r="R79" s="246"/>
      <c r="S79" s="246"/>
      <c r="T79" s="247"/>
      <c r="AH79" s="260"/>
      <c r="AI79" s="261"/>
      <c r="AJ79" s="261"/>
      <c r="AK79" s="262"/>
      <c r="AL79" s="266"/>
      <c r="AM79" s="267"/>
      <c r="AN79" s="267"/>
      <c r="AO79" s="268"/>
      <c r="AP79" s="76"/>
    </row>
    <row r="80" spans="1:42" x14ac:dyDescent="0.25">
      <c r="A80" s="242" t="s">
        <v>94</v>
      </c>
      <c r="B80" s="242"/>
      <c r="C80" s="242"/>
      <c r="D80" s="242"/>
      <c r="E80" s="243"/>
      <c r="F80" s="645"/>
      <c r="G80" s="646"/>
      <c r="H80" s="647"/>
      <c r="V80" s="340" t="s">
        <v>236</v>
      </c>
      <c r="W80" s="341"/>
      <c r="X80" s="341"/>
      <c r="Y80" s="341"/>
      <c r="Z80" s="341"/>
      <c r="AA80" s="341"/>
      <c r="AB80" s="341"/>
      <c r="AC80" s="341"/>
      <c r="AD80" s="341"/>
      <c r="AE80" s="341"/>
      <c r="AF80" s="341"/>
      <c r="AG80" s="605"/>
      <c r="AH80" s="648">
        <v>44</v>
      </c>
      <c r="AI80" s="649"/>
      <c r="AJ80" s="649"/>
      <c r="AK80" s="650"/>
      <c r="AL80" s="649">
        <v>20</v>
      </c>
      <c r="AM80" s="649"/>
      <c r="AN80" s="649"/>
      <c r="AO80" s="650"/>
      <c r="AP80" s="115"/>
    </row>
    <row r="81" spans="1:42" x14ac:dyDescent="0.25">
      <c r="V81" s="343" t="s">
        <v>237</v>
      </c>
      <c r="W81" s="606"/>
      <c r="X81" s="606"/>
      <c r="Y81" s="606"/>
      <c r="Z81" s="606"/>
      <c r="AA81" s="606"/>
      <c r="AB81" s="606"/>
      <c r="AC81" s="606"/>
      <c r="AD81" s="606"/>
      <c r="AE81" s="606"/>
      <c r="AF81" s="606"/>
      <c r="AG81" s="607"/>
      <c r="AH81" s="401"/>
      <c r="AI81" s="402"/>
      <c r="AJ81" s="402"/>
      <c r="AK81" s="403"/>
      <c r="AL81" s="661">
        <v>4</v>
      </c>
      <c r="AM81" s="661"/>
      <c r="AN81" s="661"/>
      <c r="AO81" s="662"/>
      <c r="AP81" s="115"/>
    </row>
    <row r="82" spans="1:42" x14ac:dyDescent="0.25">
      <c r="A82" s="242" t="s">
        <v>95</v>
      </c>
      <c r="B82" s="242"/>
      <c r="C82" s="242"/>
      <c r="D82" s="242"/>
      <c r="E82" s="242"/>
      <c r="F82" s="644"/>
      <c r="G82" s="644"/>
      <c r="H82" s="644"/>
      <c r="I82" s="644"/>
      <c r="J82" s="644"/>
      <c r="K82" s="644"/>
      <c r="L82" s="644"/>
      <c r="V82" s="231" t="s">
        <v>96</v>
      </c>
      <c r="W82" s="213"/>
      <c r="X82" s="213"/>
      <c r="Y82" s="213"/>
      <c r="Z82" s="213"/>
      <c r="AA82" s="213"/>
      <c r="AB82" s="213"/>
      <c r="AC82" s="213"/>
      <c r="AD82" s="213"/>
      <c r="AE82" s="213"/>
      <c r="AF82" s="213"/>
      <c r="AG82" s="232"/>
      <c r="AH82" s="254">
        <v>28</v>
      </c>
      <c r="AI82" s="255"/>
      <c r="AJ82" s="255"/>
      <c r="AK82" s="256"/>
      <c r="AL82" s="254">
        <v>15</v>
      </c>
      <c r="AM82" s="255"/>
      <c r="AN82" s="255"/>
      <c r="AO82" s="256"/>
      <c r="AP82" s="115"/>
    </row>
    <row r="83" spans="1:42" x14ac:dyDescent="0.25">
      <c r="A83" s="242" t="s">
        <v>97</v>
      </c>
      <c r="B83" s="242"/>
      <c r="C83" s="242"/>
      <c r="D83" s="242"/>
      <c r="E83" s="242"/>
      <c r="F83" s="643">
        <v>45716</v>
      </c>
      <c r="G83" s="643"/>
      <c r="H83" s="643"/>
      <c r="I83" s="643"/>
      <c r="V83" s="231" t="s">
        <v>242</v>
      </c>
      <c r="W83" s="213"/>
      <c r="X83" s="213"/>
      <c r="Y83" s="213"/>
      <c r="Z83" s="213"/>
      <c r="AA83" s="213"/>
      <c r="AB83" s="213"/>
      <c r="AC83" s="213"/>
      <c r="AD83" s="213"/>
      <c r="AE83" s="213"/>
      <c r="AF83" s="213"/>
      <c r="AG83" s="232"/>
      <c r="AH83" s="640"/>
      <c r="AI83" s="641"/>
      <c r="AJ83" s="641"/>
      <c r="AK83" s="642"/>
      <c r="AL83" s="640"/>
      <c r="AM83" s="641"/>
      <c r="AN83" s="641"/>
      <c r="AO83" s="642"/>
      <c r="AP83" s="115"/>
    </row>
    <row r="84" spans="1:42" x14ac:dyDescent="0.25">
      <c r="A84" s="242" t="s">
        <v>99</v>
      </c>
      <c r="B84" s="242"/>
      <c r="C84" s="242"/>
      <c r="D84" s="242"/>
      <c r="E84" s="242"/>
      <c r="V84" s="231" t="s">
        <v>104</v>
      </c>
      <c r="W84" s="213"/>
      <c r="X84" s="213"/>
      <c r="Y84" s="213"/>
      <c r="Z84" s="213"/>
      <c r="AA84" s="213"/>
      <c r="AB84" s="213"/>
      <c r="AC84" s="213"/>
      <c r="AD84" s="213"/>
      <c r="AE84" s="213"/>
      <c r="AF84" s="213"/>
      <c r="AG84" s="232"/>
      <c r="AH84" s="637"/>
      <c r="AI84" s="638"/>
      <c r="AJ84" s="638"/>
      <c r="AK84" s="639"/>
      <c r="AL84" s="407"/>
      <c r="AM84" s="407"/>
      <c r="AN84" s="407"/>
      <c r="AO84" s="408"/>
      <c r="AP84" s="115"/>
    </row>
    <row r="85" spans="1:42" x14ac:dyDescent="0.25">
      <c r="V85" s="231" t="s">
        <v>105</v>
      </c>
      <c r="W85" s="342"/>
      <c r="X85" s="342"/>
      <c r="Y85" s="342"/>
      <c r="Z85" s="342"/>
      <c r="AA85" s="342"/>
      <c r="AB85" s="342"/>
      <c r="AC85" s="342"/>
      <c r="AD85" s="342"/>
      <c r="AE85" s="342"/>
      <c r="AF85" s="342"/>
      <c r="AG85" s="395"/>
      <c r="AH85" s="254">
        <v>28</v>
      </c>
      <c r="AI85" s="255"/>
      <c r="AJ85" s="255"/>
      <c r="AK85" s="256"/>
      <c r="AL85" s="254">
        <v>15</v>
      </c>
      <c r="AM85" s="255"/>
      <c r="AN85" s="255"/>
      <c r="AO85" s="256"/>
      <c r="AP85" s="115"/>
    </row>
    <row r="86" spans="1:42" x14ac:dyDescent="0.25">
      <c r="V86" s="231" t="s">
        <v>98</v>
      </c>
      <c r="W86" s="342"/>
      <c r="X86" s="342"/>
      <c r="Y86" s="342"/>
      <c r="Z86" s="342"/>
      <c r="AA86" s="342"/>
      <c r="AB86" s="342"/>
      <c r="AC86" s="342"/>
      <c r="AD86" s="342"/>
      <c r="AE86" s="342"/>
      <c r="AF86" s="342"/>
      <c r="AG86" s="395"/>
      <c r="AH86" s="640">
        <v>28</v>
      </c>
      <c r="AI86" s="641"/>
      <c r="AJ86" s="641"/>
      <c r="AK86" s="642"/>
      <c r="AL86" s="640"/>
      <c r="AM86" s="641"/>
      <c r="AN86" s="641"/>
      <c r="AO86" s="642"/>
      <c r="AP86" s="115"/>
    </row>
    <row r="87" spans="1:42" x14ac:dyDescent="0.25">
      <c r="A87" s="244" t="s">
        <v>123</v>
      </c>
      <c r="B87" s="244"/>
      <c r="C87" s="244"/>
      <c r="D87" s="244"/>
      <c r="E87" s="244"/>
      <c r="F87" s="244"/>
      <c r="V87" s="634" t="s">
        <v>100</v>
      </c>
      <c r="W87" s="635"/>
      <c r="X87" s="635"/>
      <c r="Y87" s="635"/>
      <c r="Z87" s="635"/>
      <c r="AA87" s="635"/>
      <c r="AB87" s="635"/>
      <c r="AC87" s="635"/>
      <c r="AD87" s="635"/>
      <c r="AE87" s="635"/>
      <c r="AF87" s="635"/>
      <c r="AG87" s="636"/>
      <c r="AH87" s="637"/>
      <c r="AI87" s="638"/>
      <c r="AJ87" s="638"/>
      <c r="AK87" s="639"/>
      <c r="AL87" s="637"/>
      <c r="AM87" s="638"/>
      <c r="AN87" s="638"/>
      <c r="AO87" s="639"/>
      <c r="AP87" s="115"/>
    </row>
    <row r="88" spans="1:42" x14ac:dyDescent="0.25">
      <c r="A88" s="244" t="s">
        <v>124</v>
      </c>
      <c r="B88" s="244"/>
      <c r="C88" s="244"/>
      <c r="D88" s="244"/>
      <c r="E88" s="244"/>
      <c r="F88" s="244"/>
      <c r="V88" s="398" t="s">
        <v>101</v>
      </c>
      <c r="W88" s="399"/>
      <c r="X88" s="399"/>
      <c r="Y88" s="399"/>
      <c r="Z88" s="399"/>
      <c r="AA88" s="399"/>
      <c r="AB88" s="399"/>
      <c r="AC88" s="399"/>
      <c r="AD88" s="399"/>
      <c r="AE88" s="399"/>
      <c r="AF88" s="399"/>
      <c r="AG88" s="400"/>
      <c r="AH88" s="251">
        <v>0</v>
      </c>
      <c r="AI88" s="252"/>
      <c r="AJ88" s="252"/>
      <c r="AK88" s="253"/>
      <c r="AL88" s="251">
        <v>15</v>
      </c>
      <c r="AM88" s="252"/>
      <c r="AN88" s="252"/>
      <c r="AO88" s="253"/>
      <c r="AP88" s="115"/>
    </row>
    <row r="89" spans="1:42" x14ac:dyDescent="0.25">
      <c r="V89" s="233" t="s">
        <v>106</v>
      </c>
      <c r="W89" s="234"/>
      <c r="X89" s="234"/>
      <c r="Y89" s="234"/>
      <c r="Z89" s="234"/>
      <c r="AA89" s="234"/>
      <c r="AB89" s="234"/>
      <c r="AC89" s="234"/>
      <c r="AD89" s="234"/>
      <c r="AE89" s="234"/>
      <c r="AF89" s="234"/>
      <c r="AG89" s="235"/>
      <c r="AH89" s="631"/>
      <c r="AI89" s="632"/>
      <c r="AJ89" s="632"/>
      <c r="AK89" s="633"/>
      <c r="AL89" s="239"/>
      <c r="AM89" s="240"/>
      <c r="AN89" s="240"/>
      <c r="AO89" s="241"/>
    </row>
    <row r="90" spans="1:42" x14ac:dyDescent="0.25">
      <c r="A90" s="389"/>
      <c r="B90" s="389"/>
      <c r="C90" s="389"/>
      <c r="D90" s="389"/>
      <c r="E90" s="389"/>
      <c r="F90" s="389"/>
      <c r="G90" s="389"/>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389"/>
      <c r="AL90" s="389"/>
      <c r="AM90" s="389"/>
      <c r="AN90" s="389"/>
      <c r="AO90" s="389"/>
    </row>
    <row r="91" spans="1:42" x14ac:dyDescent="0.25">
      <c r="R91" s="76"/>
      <c r="S91" s="76"/>
      <c r="T91" s="76"/>
      <c r="U91" s="76"/>
      <c r="V91" s="76"/>
      <c r="W91" s="76"/>
      <c r="X91" s="76"/>
      <c r="Y91" s="76"/>
      <c r="Z91" s="76"/>
      <c r="AB91" s="76"/>
      <c r="AC91" s="76"/>
      <c r="AD91" s="76"/>
      <c r="AE91" s="76"/>
      <c r="AF91" s="76"/>
      <c r="AG91" s="76"/>
      <c r="AH91" s="76"/>
    </row>
    <row r="92" spans="1:42" x14ac:dyDescent="0.25">
      <c r="AA92" s="76"/>
    </row>
    <row r="95" spans="1:42" x14ac:dyDescent="0.25">
      <c r="N95" s="76"/>
      <c r="O95" s="76"/>
      <c r="P95" s="76"/>
      <c r="Q95" s="76"/>
    </row>
    <row r="103" spans="6:10" x14ac:dyDescent="0.25">
      <c r="F103" s="74"/>
      <c r="G103" s="368"/>
      <c r="H103" s="368"/>
      <c r="I103" s="368"/>
      <c r="J103" s="368"/>
    </row>
    <row r="104" spans="6:10" x14ac:dyDescent="0.25">
      <c r="F104" s="74"/>
      <c r="G104" s="368"/>
      <c r="H104" s="368"/>
      <c r="I104" s="368"/>
      <c r="J104" s="368"/>
    </row>
    <row r="105" spans="6:10" x14ac:dyDescent="0.25">
      <c r="F105" s="74"/>
      <c r="G105" s="368"/>
      <c r="H105" s="368"/>
      <c r="I105" s="368"/>
      <c r="J105" s="368"/>
    </row>
    <row r="106" spans="6:10" x14ac:dyDescent="0.25">
      <c r="F106" s="74"/>
      <c r="G106" s="368"/>
      <c r="H106" s="368"/>
      <c r="I106" s="368"/>
      <c r="J106" s="368"/>
    </row>
    <row r="107" spans="6:10" x14ac:dyDescent="0.25">
      <c r="F107" s="74"/>
      <c r="G107" s="368"/>
      <c r="H107" s="368"/>
      <c r="I107" s="368"/>
      <c r="J107" s="368"/>
    </row>
  </sheetData>
  <sheetProtection algorithmName="SHA-512" hashValue="XTYiFemoBd7zUgpF+sP7fiI3GGVJfCb2+FPb1YadzVZOF2KXeQPfzM3OapFIZhK3L/R9OCodXplzOH7sF7su+Q==" saltValue="33IB0WCIhMeYPKGVJOpvZg==" spinCount="100000" sheet="1" objects="1" scenarios="1" formatCells="0" formatColumns="0" formatRows="0" insertColumns="0" insertRows="0" insertHyperlinks="0" sort="0" autoFilter="0" pivotTables="0"/>
  <mergeCells count="527">
    <mergeCell ref="A83:E83"/>
    <mergeCell ref="A84:E84"/>
    <mergeCell ref="A87:F87"/>
    <mergeCell ref="A88:F88"/>
    <mergeCell ref="BC1:BD1"/>
    <mergeCell ref="BC7:BD7"/>
    <mergeCell ref="BC13:BD13"/>
    <mergeCell ref="BC19:BD19"/>
    <mergeCell ref="A77:E77"/>
    <mergeCell ref="A78:E78"/>
    <mergeCell ref="A79:E79"/>
    <mergeCell ref="A80:E80"/>
    <mergeCell ref="A82:E82"/>
    <mergeCell ref="A1:AO1"/>
    <mergeCell ref="A3:R3"/>
    <mergeCell ref="X3:AC3"/>
    <mergeCell ref="AF3:AH3"/>
    <mergeCell ref="AI3:AO3"/>
    <mergeCell ref="AR3:AS3"/>
    <mergeCell ref="A4:D4"/>
    <mergeCell ref="E4:R4"/>
    <mergeCell ref="X4:AC4"/>
    <mergeCell ref="AF4:AI4"/>
    <mergeCell ref="AJ4:AO4"/>
    <mergeCell ref="A5:D5"/>
    <mergeCell ref="E5:R5"/>
    <mergeCell ref="X5:Y5"/>
    <mergeCell ref="Z5:AA5"/>
    <mergeCell ref="AB5:AC5"/>
    <mergeCell ref="V9:Y9"/>
    <mergeCell ref="Z9:AO9"/>
    <mergeCell ref="A10:M11"/>
    <mergeCell ref="V10:Y10"/>
    <mergeCell ref="Z10:AO10"/>
    <mergeCell ref="V11:Y11"/>
    <mergeCell ref="Z11:AO11"/>
    <mergeCell ref="A6:D6"/>
    <mergeCell ref="E6:R6"/>
    <mergeCell ref="A7:D7"/>
    <mergeCell ref="E7:R7"/>
    <mergeCell ref="V7:AO7"/>
    <mergeCell ref="A8:D8"/>
    <mergeCell ref="E8:R8"/>
    <mergeCell ref="V8:Y8"/>
    <mergeCell ref="Z8:AO8"/>
    <mergeCell ref="A18:K18"/>
    <mergeCell ref="L18:O18"/>
    <mergeCell ref="P18:S18"/>
    <mergeCell ref="T18:W18"/>
    <mergeCell ref="AB18:AC19"/>
    <mergeCell ref="V12:Y12"/>
    <mergeCell ref="Z12:AO12"/>
    <mergeCell ref="H14:K14"/>
    <mergeCell ref="O14:T14"/>
    <mergeCell ref="U14:X14"/>
    <mergeCell ref="AE14:AK14"/>
    <mergeCell ref="AL14:AO14"/>
    <mergeCell ref="AD18:AF19"/>
    <mergeCell ref="AG18:AI19"/>
    <mergeCell ref="AJ18:AL19"/>
    <mergeCell ref="A19:K19"/>
    <mergeCell ref="L19:O19"/>
    <mergeCell ref="P19:S19"/>
    <mergeCell ref="T19:W19"/>
    <mergeCell ref="M15:N15"/>
    <mergeCell ref="X15:Y15"/>
    <mergeCell ref="AE15:AK15"/>
    <mergeCell ref="AL15:AO15"/>
    <mergeCell ref="AG20:AI20"/>
    <mergeCell ref="AJ20:AL20"/>
    <mergeCell ref="A21:K21"/>
    <mergeCell ref="L21:O21"/>
    <mergeCell ref="P21:S21"/>
    <mergeCell ref="T21:W21"/>
    <mergeCell ref="AB21:AC21"/>
    <mergeCell ref="AD21:AF21"/>
    <mergeCell ref="AG21:AI21"/>
    <mergeCell ref="AJ21:AL21"/>
    <mergeCell ref="A20:K20"/>
    <mergeCell ref="L20:O20"/>
    <mergeCell ref="P20:S20"/>
    <mergeCell ref="T20:W20"/>
    <mergeCell ref="AB20:AC20"/>
    <mergeCell ref="AD20:AF20"/>
    <mergeCell ref="AG22:AI22"/>
    <mergeCell ref="AJ22:AL22"/>
    <mergeCell ref="A23:K23"/>
    <mergeCell ref="L23:O23"/>
    <mergeCell ref="P23:S23"/>
    <mergeCell ref="T23:W23"/>
    <mergeCell ref="AB23:AC23"/>
    <mergeCell ref="AD23:AF23"/>
    <mergeCell ref="AG23:AI23"/>
    <mergeCell ref="AJ23:AL23"/>
    <mergeCell ref="A22:K22"/>
    <mergeCell ref="L22:O22"/>
    <mergeCell ref="P22:S22"/>
    <mergeCell ref="T22:W22"/>
    <mergeCell ref="AB22:AC22"/>
    <mergeCell ref="AD22:AF22"/>
    <mergeCell ref="AD24:AF24"/>
    <mergeCell ref="AG24:AI24"/>
    <mergeCell ref="AJ24:AL24"/>
    <mergeCell ref="B25:K25"/>
    <mergeCell ref="L25:O25"/>
    <mergeCell ref="P25:S25"/>
    <mergeCell ref="T25:W25"/>
    <mergeCell ref="AB25:AC25"/>
    <mergeCell ref="AD25:AF25"/>
    <mergeCell ref="AG25:AI25"/>
    <mergeCell ref="B24:K24"/>
    <mergeCell ref="L24:O24"/>
    <mergeCell ref="P24:S24"/>
    <mergeCell ref="T24:W24"/>
    <mergeCell ref="AB24:AC24"/>
    <mergeCell ref="AJ25:AL25"/>
    <mergeCell ref="AG26:AI26"/>
    <mergeCell ref="AJ26:AL26"/>
    <mergeCell ref="AG29:AI29"/>
    <mergeCell ref="AJ29:AL29"/>
    <mergeCell ref="B30:K30"/>
    <mergeCell ref="L30:O30"/>
    <mergeCell ref="P30:S30"/>
    <mergeCell ref="T30:W30"/>
    <mergeCell ref="AB30:AC30"/>
    <mergeCell ref="AD30:AF30"/>
    <mergeCell ref="AG30:AI30"/>
    <mergeCell ref="AJ30:AL30"/>
    <mergeCell ref="B29:K29"/>
    <mergeCell ref="L29:O29"/>
    <mergeCell ref="P29:S29"/>
    <mergeCell ref="T29:W29"/>
    <mergeCell ref="AB29:AC29"/>
    <mergeCell ref="AD29:AF29"/>
    <mergeCell ref="A24:A25"/>
    <mergeCell ref="AG27:AI27"/>
    <mergeCell ref="AJ27:AL27"/>
    <mergeCell ref="B28:K28"/>
    <mergeCell ref="L28:O28"/>
    <mergeCell ref="P28:S28"/>
    <mergeCell ref="T28:W28"/>
    <mergeCell ref="AB28:AC28"/>
    <mergeCell ref="AD28:AF28"/>
    <mergeCell ref="AG28:AI28"/>
    <mergeCell ref="AJ28:AL28"/>
    <mergeCell ref="B27:K27"/>
    <mergeCell ref="L27:O27"/>
    <mergeCell ref="P27:S27"/>
    <mergeCell ref="T27:W27"/>
    <mergeCell ref="AB27:AC27"/>
    <mergeCell ref="AD27:AF27"/>
    <mergeCell ref="A26:A32"/>
    <mergeCell ref="B26:K26"/>
    <mergeCell ref="L26:O26"/>
    <mergeCell ref="P26:S26"/>
    <mergeCell ref="T26:W26"/>
    <mergeCell ref="AB26:AC26"/>
    <mergeCell ref="AD26:AF26"/>
    <mergeCell ref="AR30:AU32"/>
    <mergeCell ref="B31:K31"/>
    <mergeCell ref="L31:O31"/>
    <mergeCell ref="P31:S31"/>
    <mergeCell ref="T31:W31"/>
    <mergeCell ref="AB31:AC31"/>
    <mergeCell ref="AD31:AF31"/>
    <mergeCell ref="AG31:AI31"/>
    <mergeCell ref="AJ31:AL31"/>
    <mergeCell ref="B32:K32"/>
    <mergeCell ref="AJ32:AL32"/>
    <mergeCell ref="L33:S33"/>
    <mergeCell ref="T33:W33"/>
    <mergeCell ref="AB33:AC33"/>
    <mergeCell ref="AD33:AF33"/>
    <mergeCell ref="AG33:AI33"/>
    <mergeCell ref="AJ33:AL33"/>
    <mergeCell ref="L32:O32"/>
    <mergeCell ref="P32:S32"/>
    <mergeCell ref="T32:W32"/>
    <mergeCell ref="AB32:AC32"/>
    <mergeCell ref="AD32:AF32"/>
    <mergeCell ref="AG32:AI32"/>
    <mergeCell ref="AB34:AC34"/>
    <mergeCell ref="AD34:AF34"/>
    <mergeCell ref="AG34:AI34"/>
    <mergeCell ref="AJ34:AL34"/>
    <mergeCell ref="H35:P35"/>
    <mergeCell ref="R35:Z35"/>
    <mergeCell ref="AB35:AC35"/>
    <mergeCell ref="AD35:AF35"/>
    <mergeCell ref="AG35:AI35"/>
    <mergeCell ref="AJ35:AL35"/>
    <mergeCell ref="A37:G37"/>
    <mergeCell ref="H37:J37"/>
    <mergeCell ref="K37:M37"/>
    <mergeCell ref="N37:P37"/>
    <mergeCell ref="R37:T37"/>
    <mergeCell ref="A36:G36"/>
    <mergeCell ref="H36:J36"/>
    <mergeCell ref="K36:M36"/>
    <mergeCell ref="N36:P36"/>
    <mergeCell ref="R36:T36"/>
    <mergeCell ref="U37:W37"/>
    <mergeCell ref="X37:Z37"/>
    <mergeCell ref="AB37:AC37"/>
    <mergeCell ref="AD37:AF37"/>
    <mergeCell ref="AG37:AI37"/>
    <mergeCell ref="AJ37:AL37"/>
    <mergeCell ref="X36:Z36"/>
    <mergeCell ref="AB36:AC36"/>
    <mergeCell ref="AD36:AF36"/>
    <mergeCell ref="AG36:AI36"/>
    <mergeCell ref="AJ36:AL36"/>
    <mergeCell ref="U36:W36"/>
    <mergeCell ref="X38:Z38"/>
    <mergeCell ref="AB38:AC38"/>
    <mergeCell ref="AD38:AF38"/>
    <mergeCell ref="AG38:AI38"/>
    <mergeCell ref="AJ38:AL38"/>
    <mergeCell ref="AR38:AS38"/>
    <mergeCell ref="A38:G38"/>
    <mergeCell ref="H38:J38"/>
    <mergeCell ref="K38:M38"/>
    <mergeCell ref="N38:P38"/>
    <mergeCell ref="R38:T38"/>
    <mergeCell ref="U38:W38"/>
    <mergeCell ref="U39:W39"/>
    <mergeCell ref="A40:G40"/>
    <mergeCell ref="H40:J40"/>
    <mergeCell ref="K40:M40"/>
    <mergeCell ref="N40:P40"/>
    <mergeCell ref="R40:T40"/>
    <mergeCell ref="A39:G39"/>
    <mergeCell ref="H39:J39"/>
    <mergeCell ref="K39:M39"/>
    <mergeCell ref="N39:P39"/>
    <mergeCell ref="R39:T39"/>
    <mergeCell ref="X40:Z40"/>
    <mergeCell ref="AB40:AC40"/>
    <mergeCell ref="AD40:AF40"/>
    <mergeCell ref="AG40:AI40"/>
    <mergeCell ref="AJ40:AL40"/>
    <mergeCell ref="X39:Z39"/>
    <mergeCell ref="AB39:AC39"/>
    <mergeCell ref="AD39:AF39"/>
    <mergeCell ref="AG39:AI39"/>
    <mergeCell ref="AJ39:AL39"/>
    <mergeCell ref="U41:W41"/>
    <mergeCell ref="A42:G42"/>
    <mergeCell ref="H42:J42"/>
    <mergeCell ref="K42:M42"/>
    <mergeCell ref="N42:P42"/>
    <mergeCell ref="R42:T42"/>
    <mergeCell ref="N41:P41"/>
    <mergeCell ref="R41:T41"/>
    <mergeCell ref="U40:W40"/>
    <mergeCell ref="X42:Z42"/>
    <mergeCell ref="AB42:AC42"/>
    <mergeCell ref="AD42:AF42"/>
    <mergeCell ref="AG42:AI42"/>
    <mergeCell ref="AJ42:AL42"/>
    <mergeCell ref="X41:Z41"/>
    <mergeCell ref="AB41:AC41"/>
    <mergeCell ref="AD41:AF41"/>
    <mergeCell ref="AG41:AI41"/>
    <mergeCell ref="AJ41:AL41"/>
    <mergeCell ref="A44:G44"/>
    <mergeCell ref="H44:J44"/>
    <mergeCell ref="K44:M44"/>
    <mergeCell ref="N44:P44"/>
    <mergeCell ref="R44:T44"/>
    <mergeCell ref="K43:M43"/>
    <mergeCell ref="N43:P43"/>
    <mergeCell ref="R43:T43"/>
    <mergeCell ref="U42:W42"/>
    <mergeCell ref="U44:W44"/>
    <mergeCell ref="X44:Z44"/>
    <mergeCell ref="AB44:AC44"/>
    <mergeCell ref="AD44:AF44"/>
    <mergeCell ref="AG44:AI44"/>
    <mergeCell ref="AJ44:AL44"/>
    <mergeCell ref="X43:Z43"/>
    <mergeCell ref="AB43:AC43"/>
    <mergeCell ref="AD43:AF43"/>
    <mergeCell ref="AG43:AI43"/>
    <mergeCell ref="AJ43:AL43"/>
    <mergeCell ref="U43:W43"/>
    <mergeCell ref="U45:W45"/>
    <mergeCell ref="A46:G46"/>
    <mergeCell ref="H46:J46"/>
    <mergeCell ref="K46:M46"/>
    <mergeCell ref="N46:P46"/>
    <mergeCell ref="R46:T46"/>
    <mergeCell ref="A45:G45"/>
    <mergeCell ref="H45:J45"/>
    <mergeCell ref="K45:M45"/>
    <mergeCell ref="N45:P45"/>
    <mergeCell ref="R45:T45"/>
    <mergeCell ref="X46:Z46"/>
    <mergeCell ref="AB46:AC46"/>
    <mergeCell ref="AD46:AF46"/>
    <mergeCell ref="AG46:AI46"/>
    <mergeCell ref="AJ46:AL46"/>
    <mergeCell ref="X45:Z45"/>
    <mergeCell ref="AB45:AC45"/>
    <mergeCell ref="AD45:AF45"/>
    <mergeCell ref="AG45:AI45"/>
    <mergeCell ref="AJ45:AL45"/>
    <mergeCell ref="H48:J48"/>
    <mergeCell ref="K48:M48"/>
    <mergeCell ref="N48:P48"/>
    <mergeCell ref="R48:T48"/>
    <mergeCell ref="H47:J47"/>
    <mergeCell ref="K47:M47"/>
    <mergeCell ref="N47:P47"/>
    <mergeCell ref="R47:T47"/>
    <mergeCell ref="U46:W46"/>
    <mergeCell ref="U48:W48"/>
    <mergeCell ref="X48:Z48"/>
    <mergeCell ref="AB48:AC48"/>
    <mergeCell ref="AD48:AF48"/>
    <mergeCell ref="AG48:AI48"/>
    <mergeCell ref="AJ48:AL48"/>
    <mergeCell ref="X47:Z47"/>
    <mergeCell ref="AB47:AC47"/>
    <mergeCell ref="AD47:AF47"/>
    <mergeCell ref="AG47:AI47"/>
    <mergeCell ref="AJ47:AL47"/>
    <mergeCell ref="U47:W47"/>
    <mergeCell ref="H50:J50"/>
    <mergeCell ref="K50:M50"/>
    <mergeCell ref="N50:P50"/>
    <mergeCell ref="R50:T50"/>
    <mergeCell ref="A49:G49"/>
    <mergeCell ref="H49:J49"/>
    <mergeCell ref="K49:M49"/>
    <mergeCell ref="N49:P49"/>
    <mergeCell ref="R49:T49"/>
    <mergeCell ref="U50:W50"/>
    <mergeCell ref="X50:Z50"/>
    <mergeCell ref="AB50:AC50"/>
    <mergeCell ref="AD50:AF50"/>
    <mergeCell ref="AG50:AI50"/>
    <mergeCell ref="AJ50:AL50"/>
    <mergeCell ref="X49:Z49"/>
    <mergeCell ref="AB49:AC49"/>
    <mergeCell ref="AD49:AF49"/>
    <mergeCell ref="AG49:AI49"/>
    <mergeCell ref="AJ49:AL49"/>
    <mergeCell ref="U49:W49"/>
    <mergeCell ref="X51:Z51"/>
    <mergeCell ref="AB51:AC51"/>
    <mergeCell ref="AD51:AF51"/>
    <mergeCell ref="AG51:AI51"/>
    <mergeCell ref="AJ51:AL51"/>
    <mergeCell ref="H52:J52"/>
    <mergeCell ref="K52:M52"/>
    <mergeCell ref="N52:P52"/>
    <mergeCell ref="R52:T52"/>
    <mergeCell ref="H51:J51"/>
    <mergeCell ref="K51:M51"/>
    <mergeCell ref="N51:P51"/>
    <mergeCell ref="R51:T51"/>
    <mergeCell ref="U51:W51"/>
    <mergeCell ref="U52:W52"/>
    <mergeCell ref="X52:Z52"/>
    <mergeCell ref="H53:J53"/>
    <mergeCell ref="K53:M53"/>
    <mergeCell ref="N53:P53"/>
    <mergeCell ref="R53:T53"/>
    <mergeCell ref="U53:W53"/>
    <mergeCell ref="X53:Z53"/>
    <mergeCell ref="X54:Z54"/>
    <mergeCell ref="H55:J55"/>
    <mergeCell ref="K55:M55"/>
    <mergeCell ref="N55:P55"/>
    <mergeCell ref="R55:T55"/>
    <mergeCell ref="U55:W55"/>
    <mergeCell ref="X55:Z55"/>
    <mergeCell ref="H54:J54"/>
    <mergeCell ref="K54:M54"/>
    <mergeCell ref="N54:P54"/>
    <mergeCell ref="R54:T54"/>
    <mergeCell ref="U54:W54"/>
    <mergeCell ref="X56:Z56"/>
    <mergeCell ref="A57:G57"/>
    <mergeCell ref="H57:J57"/>
    <mergeCell ref="K57:M57"/>
    <mergeCell ref="N57:P57"/>
    <mergeCell ref="R57:T57"/>
    <mergeCell ref="U57:W57"/>
    <mergeCell ref="X57:Z57"/>
    <mergeCell ref="H56:J56"/>
    <mergeCell ref="K56:M56"/>
    <mergeCell ref="N56:P56"/>
    <mergeCell ref="R56:T56"/>
    <mergeCell ref="U56:W56"/>
    <mergeCell ref="R60:AO60"/>
    <mergeCell ref="A61:G61"/>
    <mergeCell ref="H61:J61"/>
    <mergeCell ref="K61:M61"/>
    <mergeCell ref="N61:P61"/>
    <mergeCell ref="R61:W61"/>
    <mergeCell ref="X61:Z61"/>
    <mergeCell ref="AC61:AO61"/>
    <mergeCell ref="H58:M58"/>
    <mergeCell ref="N58:P58"/>
    <mergeCell ref="R58:W58"/>
    <mergeCell ref="X58:Z58"/>
    <mergeCell ref="H59:M59"/>
    <mergeCell ref="N59:P59"/>
    <mergeCell ref="A62:A67"/>
    <mergeCell ref="H62:J62"/>
    <mergeCell ref="K62:M62"/>
    <mergeCell ref="N62:P62"/>
    <mergeCell ref="R62:Z62"/>
    <mergeCell ref="AC62:AO62"/>
    <mergeCell ref="H63:J63"/>
    <mergeCell ref="K63:M63"/>
    <mergeCell ref="N63:P63"/>
    <mergeCell ref="R63:Z63"/>
    <mergeCell ref="H65:J65"/>
    <mergeCell ref="K65:M65"/>
    <mergeCell ref="N65:P65"/>
    <mergeCell ref="H66:J66"/>
    <mergeCell ref="K66:M66"/>
    <mergeCell ref="N66:P66"/>
    <mergeCell ref="AC63:AO63"/>
    <mergeCell ref="H64:J64"/>
    <mergeCell ref="K64:M64"/>
    <mergeCell ref="N64:P64"/>
    <mergeCell ref="R64:Z64"/>
    <mergeCell ref="AC64:AO64"/>
    <mergeCell ref="AD66:AK66"/>
    <mergeCell ref="AL66:AO66"/>
    <mergeCell ref="C67:G67"/>
    <mergeCell ref="H67:J67"/>
    <mergeCell ref="K67:M67"/>
    <mergeCell ref="N67:P67"/>
    <mergeCell ref="Z67:AB67"/>
    <mergeCell ref="AD67:AK67"/>
    <mergeCell ref="AL67:AO67"/>
    <mergeCell ref="AL68:AO68"/>
    <mergeCell ref="N69:P69"/>
    <mergeCell ref="E71:G71"/>
    <mergeCell ref="H71:K71"/>
    <mergeCell ref="L71:P71"/>
    <mergeCell ref="Q71:T71"/>
    <mergeCell ref="Z71:AK71"/>
    <mergeCell ref="AL71:AO71"/>
    <mergeCell ref="B68:G68"/>
    <mergeCell ref="H68:J68"/>
    <mergeCell ref="K68:M68"/>
    <mergeCell ref="N68:P68"/>
    <mergeCell ref="Z68:AB68"/>
    <mergeCell ref="AD68:AK68"/>
    <mergeCell ref="A72:D72"/>
    <mergeCell ref="E72:G72"/>
    <mergeCell ref="H72:K72"/>
    <mergeCell ref="Z72:AK72"/>
    <mergeCell ref="AL72:AO72"/>
    <mergeCell ref="A73:D73"/>
    <mergeCell ref="E73:G73"/>
    <mergeCell ref="H73:K73"/>
    <mergeCell ref="L73:P73"/>
    <mergeCell ref="Q73:T73"/>
    <mergeCell ref="V81:AG81"/>
    <mergeCell ref="AH81:AK81"/>
    <mergeCell ref="AL81:AO81"/>
    <mergeCell ref="A74:D74"/>
    <mergeCell ref="E74:G74"/>
    <mergeCell ref="H74:K74"/>
    <mergeCell ref="Z74:AK74"/>
    <mergeCell ref="AL74:AO74"/>
    <mergeCell ref="A75:D75"/>
    <mergeCell ref="E75:G75"/>
    <mergeCell ref="H75:K75"/>
    <mergeCell ref="L75:P75"/>
    <mergeCell ref="Q75:T75"/>
    <mergeCell ref="Z75:AK75"/>
    <mergeCell ref="AL75:AO75"/>
    <mergeCell ref="AH80:AK80"/>
    <mergeCell ref="AL80:AO80"/>
    <mergeCell ref="F77:H77"/>
    <mergeCell ref="K77:P77"/>
    <mergeCell ref="Q77:T77"/>
    <mergeCell ref="V77:AF78"/>
    <mergeCell ref="F78:H78"/>
    <mergeCell ref="AH78:AK79"/>
    <mergeCell ref="AL78:AO79"/>
    <mergeCell ref="F79:H79"/>
    <mergeCell ref="G107:J107"/>
    <mergeCell ref="V87:AG87"/>
    <mergeCell ref="AH87:AK87"/>
    <mergeCell ref="AL87:AO87"/>
    <mergeCell ref="V88:AG88"/>
    <mergeCell ref="AH88:AK88"/>
    <mergeCell ref="AL88:AO88"/>
    <mergeCell ref="V85:AG85"/>
    <mergeCell ref="AH85:AK85"/>
    <mergeCell ref="AL85:AO85"/>
    <mergeCell ref="V86:AG86"/>
    <mergeCell ref="AH86:AK86"/>
    <mergeCell ref="AL86:AO86"/>
    <mergeCell ref="AR17:AT17"/>
    <mergeCell ref="V89:AG89"/>
    <mergeCell ref="AH89:AK89"/>
    <mergeCell ref="AL89:AO89"/>
    <mergeCell ref="A90:AO90"/>
    <mergeCell ref="G103:J103"/>
    <mergeCell ref="G104:J104"/>
    <mergeCell ref="G105:J105"/>
    <mergeCell ref="G106:J106"/>
    <mergeCell ref="F83:I83"/>
    <mergeCell ref="V83:AG83"/>
    <mergeCell ref="AH83:AK83"/>
    <mergeCell ref="AL83:AO83"/>
    <mergeCell ref="V84:AG84"/>
    <mergeCell ref="AH84:AK84"/>
    <mergeCell ref="AL84:AO84"/>
    <mergeCell ref="F82:L82"/>
    <mergeCell ref="V82:AG82"/>
    <mergeCell ref="AH82:AK82"/>
    <mergeCell ref="AL82:AO82"/>
    <mergeCell ref="L79:P79"/>
    <mergeCell ref="Q79:T79"/>
    <mergeCell ref="F80:H80"/>
    <mergeCell ref="V80:AG80"/>
  </mergeCells>
  <conditionalFormatting sqref="B26:K27 T26:W32">
    <cfRule type="notContainsBlanks" dxfId="24" priority="5">
      <formula>LEN(TRIM(B26))&gt;0</formula>
    </cfRule>
  </conditionalFormatting>
  <conditionalFormatting sqref="C67:G67 N67:P67 H68:J68">
    <cfRule type="notContainsBlanks" dxfId="23" priority="3">
      <formula>LEN(TRIM(C67))&gt;0</formula>
    </cfRule>
  </conditionalFormatting>
  <conditionalFormatting sqref="E4:R8">
    <cfRule type="notContainsBlanks" dxfId="22" priority="9">
      <formula>LEN(TRIM(E4))&gt;0</formula>
    </cfRule>
  </conditionalFormatting>
  <conditionalFormatting sqref="H14:K14 U14:X14 AL14:AO14">
    <cfRule type="notContainsBlanks" dxfId="21" priority="6">
      <formula>LEN(TRIM(H14))&gt;0</formula>
    </cfRule>
  </conditionalFormatting>
  <conditionalFormatting sqref="H72:K75">
    <cfRule type="notContainsBlanks" dxfId="20" priority="2">
      <formula>LEN(TRIM(H72))&gt;0</formula>
    </cfRule>
  </conditionalFormatting>
  <conditionalFormatting sqref="H62:M66">
    <cfRule type="notContainsBlanks" dxfId="19" priority="4">
      <formula>LEN(TRIM(H62))&gt;0</formula>
    </cfRule>
  </conditionalFormatting>
  <conditionalFormatting sqref="H37:P38 H39:M40 N39:P49 H42:J42 K42:M49 H44:J49 H50:P57">
    <cfRule type="cellIs" dxfId="18" priority="10" operator="equal">
      <formula>0</formula>
    </cfRule>
  </conditionalFormatting>
  <conditionalFormatting sqref="L21:O21">
    <cfRule type="expression" dxfId="17" priority="23">
      <formula>$A$21=""</formula>
    </cfRule>
    <cfRule type="cellIs" dxfId="16" priority="24" operator="equal">
      <formula>0</formula>
    </cfRule>
  </conditionalFormatting>
  <conditionalFormatting sqref="L24:O25">
    <cfRule type="cellIs" dxfId="15" priority="19" operator="equal">
      <formula>0</formula>
    </cfRule>
  </conditionalFormatting>
  <conditionalFormatting sqref="L22:S22">
    <cfRule type="expression" dxfId="14" priority="14">
      <formula>$L$22=0</formula>
    </cfRule>
  </conditionalFormatting>
  <conditionalFormatting sqref="L23:S23">
    <cfRule type="expression" dxfId="13" priority="13">
      <formula>$L$23=0</formula>
    </cfRule>
  </conditionalFormatting>
  <conditionalFormatting sqref="L20:W20">
    <cfRule type="cellIs" dxfId="12" priority="20" operator="equal">
      <formula>0</formula>
    </cfRule>
  </conditionalFormatting>
  <conditionalFormatting sqref="P24:S25">
    <cfRule type="expression" dxfId="11" priority="18">
      <formula>$L$25=0</formula>
    </cfRule>
  </conditionalFormatting>
  <conditionalFormatting sqref="P21:W21">
    <cfRule type="expression" dxfId="10" priority="22">
      <formula>$A$21=""</formula>
    </cfRule>
  </conditionalFormatting>
  <conditionalFormatting sqref="T22:W22">
    <cfRule type="expression" dxfId="9" priority="12">
      <formula>$T$22=0</formula>
    </cfRule>
  </conditionalFormatting>
  <conditionalFormatting sqref="T23:W23">
    <cfRule type="expression" dxfId="8" priority="11">
      <formula>$T$23=0</formula>
    </cfRule>
  </conditionalFormatting>
  <conditionalFormatting sqref="T24:W25">
    <cfRule type="cellIs" dxfId="7" priority="17" operator="equal">
      <formula>0</formula>
    </cfRule>
  </conditionalFormatting>
  <conditionalFormatting sqref="Z8:AO12">
    <cfRule type="notContainsBlanks" dxfId="6" priority="7">
      <formula>LEN(TRIM(Z8))&gt;0</formula>
    </cfRule>
  </conditionalFormatting>
  <conditionalFormatting sqref="AH80:AK80 AL80:AO81 AL83:AO83 AH83:AK84 AH86:AO87 AH89:AK89">
    <cfRule type="notContainsBlanks" dxfId="5" priority="1">
      <formula>LEN(TRIM(AH80))&gt;0</formula>
    </cfRule>
  </conditionalFormatting>
  <conditionalFormatting sqref="AI3:AO3 AJ4:AO4">
    <cfRule type="notContainsBlanks" dxfId="4" priority="8">
      <formula>LEN(TRIM(AI3))&gt;0</formula>
    </cfRule>
  </conditionalFormatting>
  <conditionalFormatting sqref="AL84">
    <cfRule type="cellIs" dxfId="3" priority="25" stopIfTrue="1" operator="equal">
      <formula>0</formula>
    </cfRule>
  </conditionalFormatting>
  <conditionalFormatting sqref="AL89">
    <cfRule type="cellIs" dxfId="2" priority="16" stopIfTrue="1" operator="equal">
      <formula>0</formula>
    </cfRule>
  </conditionalFormatting>
  <conditionalFormatting sqref="AR33">
    <cfRule type="expression" dxfId="1" priority="21">
      <formula>+AND($L$21&gt;0,$AR$33="OUI")</formula>
    </cfRule>
  </conditionalFormatting>
  <conditionalFormatting sqref="AR38">
    <cfRule type="expression" dxfId="0" priority="15">
      <formula>+AND($L$21&gt;0,$AR$33="OUI")</formula>
    </cfRule>
  </conditionalFormatting>
  <dataValidations count="11">
    <dataValidation type="list" allowBlank="1" showInputMessage="1" showErrorMessage="1" sqref="AR38:AS38" xr:uid="{294151D4-A898-4ED0-B7DF-34EB762B97B9}">
      <formula1>HR_HM</formula1>
    </dataValidation>
    <dataValidation type="list" allowBlank="1" showInputMessage="1" showErrorMessage="1" sqref="V87" xr:uid="{41A94BD5-72C5-432D-B8ED-EC90BB8AB924}">
      <formula1>"Congés pris payés ce mois :,Congés payés dans l'ICCP :"</formula1>
    </dataValidation>
    <dataValidation type="list" allowBlank="1" showInputMessage="1" showErrorMessage="1" sqref="B32:K32" xr:uid="{769FBB38-BDB2-4DCC-AAA2-640DD835ADDF}">
      <formula1>"Prime de précarité 10% (CDD)"</formula1>
    </dataValidation>
    <dataValidation type="list" allowBlank="1" showInputMessage="1" showErrorMessage="1" sqref="AR14 AR33" xr:uid="{449E0F38-D281-43B7-8287-C8BA2640B986}">
      <formula1>"NON,OUI"</formula1>
    </dataValidation>
    <dataValidation type="list" allowBlank="1" showInputMessage="1" showErrorMessage="1" sqref="X3:AC3" xr:uid="{D50DBED1-7547-445E-9796-52FC6D3E2FDC}">
      <formula1>$BJ$2:$BJ$13</formula1>
    </dataValidation>
    <dataValidation type="list" allowBlank="1" showInputMessage="1" showErrorMessage="1" sqref="AR3" xr:uid="{A5052C7B-2FF2-40D1-A430-7729A645A8FE}">
      <formula1>"Année Complète, Année Incomplète"</formula1>
    </dataValidation>
    <dataValidation operator="lessThanOrEqual" allowBlank="1" showErrorMessage="1" errorTitle="erreur plafond" error="Le bulletin n'est pas adapté pour les salaires suppérieurs à la première tranche du plafond de la CPAM soit 3377 €" sqref="P34 T33" xr:uid="{288F486D-EA1D-4277-8F68-F70845B06DAE}">
      <formula1>0</formula1>
      <formula2>0</formula2>
    </dataValidation>
    <dataValidation type="list" allowBlank="1" showInputMessage="1" showErrorMessage="1" sqref="F77:H77" xr:uid="{96B71725-F9E1-47D3-B199-A1F3C4BCF0EF}">
      <formula1>"Chèque,Espèce,Virement,Pajemploi +,CESU"</formula1>
    </dataValidation>
    <dataValidation type="list" allowBlank="1" showInputMessage="1" showErrorMessage="1" sqref="F79:H79" xr:uid="{0679BBE6-7B09-4E4B-9497-F43227A4C143}">
      <formula1>"' ,Chèque,Espèce,Virement,Pajemploi +,CESU"</formula1>
    </dataValidation>
    <dataValidation allowBlank="1" showInputMessage="1" showErrorMessage="1" prompt="Vous pouvez choisir avec la petite flèche à droite &quot;Salaires heures normales réelles &quot;" sqref="A19:K19" xr:uid="{A9B0B1DA-60C0-4812-8314-E52DB91F0E00}"/>
    <dataValidation showInputMessage="1" showErrorMessage="1" sqref="AR7:AS9" xr:uid="{4DD6836F-5640-4BF7-BE4F-0B990189DDBB}"/>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A05F9-93EF-47CC-A9BF-136B491AD73E}">
  <dimension ref="A1:M137"/>
  <sheetViews>
    <sheetView zoomScale="90" zoomScaleNormal="90" workbookViewId="0">
      <selection activeCell="B3" sqref="B3"/>
    </sheetView>
  </sheetViews>
  <sheetFormatPr baseColWidth="10" defaultRowHeight="15" x14ac:dyDescent="0.25"/>
  <cols>
    <col min="1" max="1" width="32.28515625" customWidth="1"/>
    <col min="2" max="2" width="15.28515625" customWidth="1"/>
    <col min="3" max="13" width="14.85546875" customWidth="1"/>
  </cols>
  <sheetData>
    <row r="1" spans="1:13" ht="18" x14ac:dyDescent="0.25">
      <c r="A1" s="132" t="s">
        <v>243</v>
      </c>
    </row>
    <row r="3" spans="1:13" x14ac:dyDescent="0.25">
      <c r="A3" s="133" t="s">
        <v>188</v>
      </c>
    </row>
    <row r="5" spans="1:13" x14ac:dyDescent="0.25">
      <c r="B5" s="134" t="s">
        <v>189</v>
      </c>
      <c r="C5" s="135" t="s">
        <v>190</v>
      </c>
      <c r="D5" s="134" t="s">
        <v>191</v>
      </c>
      <c r="E5" s="135" t="s">
        <v>192</v>
      </c>
      <c r="F5" s="134" t="s">
        <v>193</v>
      </c>
      <c r="G5" s="135" t="s">
        <v>194</v>
      </c>
      <c r="H5" s="134" t="s">
        <v>195</v>
      </c>
      <c r="I5" s="135" t="s">
        <v>196</v>
      </c>
      <c r="J5" s="134" t="s">
        <v>197</v>
      </c>
      <c r="K5" s="135" t="s">
        <v>198</v>
      </c>
      <c r="L5" s="134" t="s">
        <v>199</v>
      </c>
      <c r="M5" s="136" t="s">
        <v>200</v>
      </c>
    </row>
    <row r="6" spans="1:13" x14ac:dyDescent="0.25">
      <c r="A6" s="137"/>
      <c r="B6" s="138" cm="1">
        <f t="array" ref="B6">+DATE('Bulletin simple'!X4:X4,1,1)</f>
        <v>45658</v>
      </c>
      <c r="C6" s="138">
        <f t="shared" ref="C6:M6" si="0">+DATE(YEAR(B6),MONTH(B6)+1,1)</f>
        <v>45689</v>
      </c>
      <c r="D6" s="138">
        <f t="shared" si="0"/>
        <v>45717</v>
      </c>
      <c r="E6" s="138">
        <f t="shared" si="0"/>
        <v>45748</v>
      </c>
      <c r="F6" s="138">
        <f t="shared" si="0"/>
        <v>45778</v>
      </c>
      <c r="G6" s="138">
        <f t="shared" si="0"/>
        <v>45809</v>
      </c>
      <c r="H6" s="138">
        <f t="shared" si="0"/>
        <v>45839</v>
      </c>
      <c r="I6" s="138">
        <f t="shared" si="0"/>
        <v>45870</v>
      </c>
      <c r="J6" s="138">
        <f t="shared" si="0"/>
        <v>45901</v>
      </c>
      <c r="K6" s="138">
        <f t="shared" si="0"/>
        <v>45931</v>
      </c>
      <c r="L6" s="138">
        <f t="shared" si="0"/>
        <v>45962</v>
      </c>
      <c r="M6" s="138">
        <f t="shared" si="0"/>
        <v>45992</v>
      </c>
    </row>
    <row r="7" spans="1:13" ht="30" x14ac:dyDescent="0.25">
      <c r="B7" s="139" t="s">
        <v>110</v>
      </c>
      <c r="C7" s="139" t="s">
        <v>110</v>
      </c>
      <c r="D7" s="139" t="s">
        <v>110</v>
      </c>
      <c r="E7" s="139" t="s">
        <v>110</v>
      </c>
      <c r="F7" s="139" t="s">
        <v>110</v>
      </c>
      <c r="G7" s="139" t="s">
        <v>110</v>
      </c>
      <c r="H7" s="139" t="s">
        <v>110</v>
      </c>
      <c r="I7" s="139" t="s">
        <v>110</v>
      </c>
      <c r="J7" s="139" t="s">
        <v>110</v>
      </c>
      <c r="K7" s="139" t="s">
        <v>110</v>
      </c>
      <c r="L7" s="139" t="s">
        <v>110</v>
      </c>
      <c r="M7" s="139" t="s">
        <v>110</v>
      </c>
    </row>
    <row r="8" spans="1:13" x14ac:dyDescent="0.25">
      <c r="B8" s="10" t="s">
        <v>23</v>
      </c>
      <c r="C8" s="10" t="s">
        <v>23</v>
      </c>
      <c r="D8" s="10" t="s">
        <v>23</v>
      </c>
      <c r="E8" s="10" t="s">
        <v>23</v>
      </c>
      <c r="F8" s="10" t="s">
        <v>23</v>
      </c>
      <c r="G8" s="10" t="s">
        <v>23</v>
      </c>
      <c r="H8" s="10" t="s">
        <v>23</v>
      </c>
      <c r="I8" s="10" t="s">
        <v>23</v>
      </c>
      <c r="J8" s="10" t="s">
        <v>23</v>
      </c>
      <c r="K8" s="10" t="s">
        <v>23</v>
      </c>
      <c r="L8" s="10" t="s">
        <v>23</v>
      </c>
      <c r="M8" s="10" t="s">
        <v>23</v>
      </c>
    </row>
    <row r="9" spans="1:13" x14ac:dyDescent="0.25">
      <c r="A9" s="4" t="s">
        <v>44</v>
      </c>
      <c r="B9" s="140"/>
      <c r="C9" s="140"/>
      <c r="D9" s="140"/>
      <c r="E9" s="140"/>
      <c r="F9" s="140"/>
      <c r="G9" s="140"/>
      <c r="H9" s="140"/>
      <c r="I9" s="140"/>
      <c r="J9" s="140"/>
      <c r="K9" s="140"/>
      <c r="L9" s="140"/>
      <c r="M9" s="140"/>
    </row>
    <row r="10" spans="1:13" x14ac:dyDescent="0.25">
      <c r="A10" s="5" t="s">
        <v>45</v>
      </c>
      <c r="B10" s="175">
        <v>2.75E-2</v>
      </c>
      <c r="C10" s="175">
        <f>+B10</f>
        <v>2.75E-2</v>
      </c>
      <c r="D10" s="175">
        <f t="shared" ref="D10" si="1">+C10</f>
        <v>2.75E-2</v>
      </c>
      <c r="E10" s="175">
        <f t="shared" ref="E10" si="2">+D10</f>
        <v>2.75E-2</v>
      </c>
      <c r="F10" s="175">
        <f t="shared" ref="F10" si="3">+E10</f>
        <v>2.75E-2</v>
      </c>
      <c r="G10" s="175">
        <f t="shared" ref="G10" si="4">+F10</f>
        <v>2.75E-2</v>
      </c>
      <c r="H10" s="175">
        <f t="shared" ref="H10" si="5">+G10</f>
        <v>2.75E-2</v>
      </c>
      <c r="I10" s="175">
        <f t="shared" ref="I10" si="6">+H10</f>
        <v>2.75E-2</v>
      </c>
      <c r="J10" s="175">
        <f t="shared" ref="J10" si="7">+I10</f>
        <v>2.75E-2</v>
      </c>
      <c r="K10" s="175">
        <f t="shared" ref="K10" si="8">+J10</f>
        <v>2.75E-2</v>
      </c>
      <c r="L10" s="175">
        <f t="shared" ref="L10" si="9">+K10</f>
        <v>2.75E-2</v>
      </c>
      <c r="M10" s="175">
        <f t="shared" ref="M10" si="10">+L10</f>
        <v>2.75E-2</v>
      </c>
    </row>
    <row r="11" spans="1:13" x14ac:dyDescent="0.25">
      <c r="A11" s="5" t="s">
        <v>201</v>
      </c>
      <c r="B11" s="175">
        <v>0</v>
      </c>
      <c r="C11" s="175">
        <f>+B11</f>
        <v>0</v>
      </c>
      <c r="D11" s="175">
        <f t="shared" ref="D11:M11" si="11">+C11</f>
        <v>0</v>
      </c>
      <c r="E11" s="175">
        <f t="shared" si="11"/>
        <v>0</v>
      </c>
      <c r="F11" s="175">
        <f t="shared" si="11"/>
        <v>0</v>
      </c>
      <c r="G11" s="175">
        <f t="shared" si="11"/>
        <v>0</v>
      </c>
      <c r="H11" s="175">
        <f t="shared" si="11"/>
        <v>0</v>
      </c>
      <c r="I11" s="175">
        <f t="shared" si="11"/>
        <v>0</v>
      </c>
      <c r="J11" s="175">
        <f t="shared" si="11"/>
        <v>0</v>
      </c>
      <c r="K11" s="175">
        <f t="shared" si="11"/>
        <v>0</v>
      </c>
      <c r="L11" s="175">
        <f t="shared" si="11"/>
        <v>0</v>
      </c>
      <c r="M11" s="175">
        <f t="shared" si="11"/>
        <v>0</v>
      </c>
    </row>
    <row r="12" spans="1:13" x14ac:dyDescent="0.25">
      <c r="A12" s="5" t="s">
        <v>202</v>
      </c>
      <c r="B12" s="141"/>
      <c r="C12" s="141"/>
      <c r="D12" s="141"/>
      <c r="E12" s="141"/>
      <c r="F12" s="141"/>
      <c r="G12" s="141"/>
      <c r="H12" s="141"/>
      <c r="I12" s="141"/>
      <c r="J12" s="141"/>
      <c r="K12" s="141"/>
      <c r="L12" s="141"/>
      <c r="M12" s="141"/>
    </row>
    <row r="13" spans="1:13" x14ac:dyDescent="0.25">
      <c r="A13" s="6" t="s">
        <v>46</v>
      </c>
      <c r="B13" s="141"/>
      <c r="C13" s="141"/>
      <c r="D13" s="141"/>
      <c r="E13" s="141"/>
      <c r="F13" s="141"/>
      <c r="G13" s="141"/>
      <c r="H13" s="141"/>
      <c r="I13" s="141"/>
      <c r="J13" s="141"/>
      <c r="K13" s="141"/>
      <c r="L13" s="141"/>
      <c r="M13" s="141"/>
    </row>
    <row r="14" spans="1:13" x14ac:dyDescent="0.25">
      <c r="A14" s="6" t="s">
        <v>47</v>
      </c>
      <c r="B14" s="141"/>
      <c r="C14" s="141"/>
      <c r="D14" s="141"/>
      <c r="E14" s="141"/>
      <c r="F14" s="141"/>
      <c r="G14" s="141"/>
      <c r="H14" s="141"/>
      <c r="I14" s="141"/>
      <c r="J14" s="141"/>
      <c r="K14" s="141"/>
      <c r="L14" s="141"/>
      <c r="M14" s="141"/>
    </row>
    <row r="15" spans="1:13" x14ac:dyDescent="0.25">
      <c r="A15" s="5" t="s">
        <v>203</v>
      </c>
      <c r="B15" s="175">
        <v>6.8199999999999997E-2</v>
      </c>
      <c r="C15" s="175">
        <f t="shared" ref="C15:M23" si="12">+B15</f>
        <v>6.8199999999999997E-2</v>
      </c>
      <c r="D15" s="175">
        <f t="shared" si="12"/>
        <v>6.8199999999999997E-2</v>
      </c>
      <c r="E15" s="175">
        <f t="shared" si="12"/>
        <v>6.8199999999999997E-2</v>
      </c>
      <c r="F15" s="175">
        <f t="shared" si="12"/>
        <v>6.8199999999999997E-2</v>
      </c>
      <c r="G15" s="175">
        <f t="shared" si="12"/>
        <v>6.8199999999999997E-2</v>
      </c>
      <c r="H15" s="175">
        <f t="shared" si="12"/>
        <v>6.8199999999999997E-2</v>
      </c>
      <c r="I15" s="175">
        <f t="shared" si="12"/>
        <v>6.8199999999999997E-2</v>
      </c>
      <c r="J15" s="175">
        <f t="shared" si="12"/>
        <v>6.8199999999999997E-2</v>
      </c>
      <c r="K15" s="175">
        <f t="shared" si="12"/>
        <v>6.8199999999999997E-2</v>
      </c>
      <c r="L15" s="175">
        <f t="shared" si="12"/>
        <v>6.8199999999999997E-2</v>
      </c>
      <c r="M15" s="175">
        <f t="shared" si="12"/>
        <v>6.8199999999999997E-2</v>
      </c>
    </row>
    <row r="16" spans="1:13" x14ac:dyDescent="0.25">
      <c r="A16" s="5" t="s">
        <v>204</v>
      </c>
      <c r="B16" s="175">
        <v>0</v>
      </c>
      <c r="C16" s="175">
        <f t="shared" si="12"/>
        <v>0</v>
      </c>
      <c r="D16" s="175">
        <f t="shared" si="12"/>
        <v>0</v>
      </c>
      <c r="E16" s="175">
        <f t="shared" si="12"/>
        <v>0</v>
      </c>
      <c r="F16" s="175">
        <f t="shared" si="12"/>
        <v>0</v>
      </c>
      <c r="G16" s="175">
        <f t="shared" si="12"/>
        <v>0</v>
      </c>
      <c r="H16" s="175">
        <f t="shared" si="12"/>
        <v>0</v>
      </c>
      <c r="I16" s="175">
        <f t="shared" si="12"/>
        <v>0</v>
      </c>
      <c r="J16" s="175">
        <f t="shared" si="12"/>
        <v>0</v>
      </c>
      <c r="K16" s="175">
        <f t="shared" si="12"/>
        <v>0</v>
      </c>
      <c r="L16" s="175">
        <f t="shared" si="12"/>
        <v>0</v>
      </c>
      <c r="M16" s="175">
        <f t="shared" si="12"/>
        <v>0</v>
      </c>
    </row>
    <row r="17" spans="1:13" x14ac:dyDescent="0.25">
      <c r="A17" s="5" t="s">
        <v>205</v>
      </c>
      <c r="B17" s="175">
        <v>3.15E-2</v>
      </c>
      <c r="C17" s="175">
        <f t="shared" si="12"/>
        <v>3.15E-2</v>
      </c>
      <c r="D17" s="175">
        <f t="shared" si="12"/>
        <v>3.15E-2</v>
      </c>
      <c r="E17" s="175">
        <f t="shared" si="12"/>
        <v>3.15E-2</v>
      </c>
      <c r="F17" s="175">
        <f t="shared" si="12"/>
        <v>3.15E-2</v>
      </c>
      <c r="G17" s="175">
        <f t="shared" si="12"/>
        <v>3.15E-2</v>
      </c>
      <c r="H17" s="175">
        <f t="shared" si="12"/>
        <v>3.15E-2</v>
      </c>
      <c r="I17" s="175">
        <f t="shared" si="12"/>
        <v>3.15E-2</v>
      </c>
      <c r="J17" s="175">
        <f t="shared" si="12"/>
        <v>3.15E-2</v>
      </c>
      <c r="K17" s="175">
        <f t="shared" si="12"/>
        <v>3.15E-2</v>
      </c>
      <c r="L17" s="175">
        <f t="shared" si="12"/>
        <v>3.15E-2</v>
      </c>
      <c r="M17" s="175">
        <f t="shared" si="12"/>
        <v>3.15E-2</v>
      </c>
    </row>
    <row r="18" spans="1:13" x14ac:dyDescent="0.25">
      <c r="A18" s="5" t="s">
        <v>206</v>
      </c>
      <c r="B18" s="175">
        <v>8.6E-3</v>
      </c>
      <c r="C18" s="175">
        <f t="shared" si="12"/>
        <v>8.6E-3</v>
      </c>
      <c r="D18" s="175">
        <f t="shared" si="12"/>
        <v>8.6E-3</v>
      </c>
      <c r="E18" s="175">
        <f t="shared" si="12"/>
        <v>8.6E-3</v>
      </c>
      <c r="F18" s="175">
        <f t="shared" si="12"/>
        <v>8.6E-3</v>
      </c>
      <c r="G18" s="175">
        <f t="shared" si="12"/>
        <v>8.6E-3</v>
      </c>
      <c r="H18" s="175">
        <f t="shared" si="12"/>
        <v>8.6E-3</v>
      </c>
      <c r="I18" s="175">
        <f t="shared" si="12"/>
        <v>8.6E-3</v>
      </c>
      <c r="J18" s="175">
        <f t="shared" si="12"/>
        <v>8.6E-3</v>
      </c>
      <c r="K18" s="175">
        <f t="shared" si="12"/>
        <v>8.6E-3</v>
      </c>
      <c r="L18" s="175">
        <f t="shared" si="12"/>
        <v>8.6E-3</v>
      </c>
      <c r="M18" s="175">
        <f t="shared" si="12"/>
        <v>8.6E-3</v>
      </c>
    </row>
    <row r="19" spans="1:13" x14ac:dyDescent="0.25">
      <c r="A19" s="5" t="str">
        <f>+A17&amp;" - "&amp;A18</f>
        <v>Retraite IRCEM T1 - CEG T1</v>
      </c>
      <c r="B19" s="141">
        <f>+B17+B18</f>
        <v>4.0099999999999997E-2</v>
      </c>
      <c r="C19" s="141">
        <f t="shared" ref="C19:M19" si="13">+C17+C18</f>
        <v>4.0099999999999997E-2</v>
      </c>
      <c r="D19" s="141">
        <f t="shared" si="13"/>
        <v>4.0099999999999997E-2</v>
      </c>
      <c r="E19" s="141">
        <f t="shared" si="13"/>
        <v>4.0099999999999997E-2</v>
      </c>
      <c r="F19" s="141">
        <f t="shared" si="13"/>
        <v>4.0099999999999997E-2</v>
      </c>
      <c r="G19" s="141">
        <f t="shared" si="13"/>
        <v>4.0099999999999997E-2</v>
      </c>
      <c r="H19" s="141">
        <f t="shared" si="13"/>
        <v>4.0099999999999997E-2</v>
      </c>
      <c r="I19" s="141">
        <f t="shared" si="13"/>
        <v>4.0099999999999997E-2</v>
      </c>
      <c r="J19" s="141">
        <f t="shared" si="13"/>
        <v>4.0099999999999997E-2</v>
      </c>
      <c r="K19" s="141">
        <f t="shared" si="13"/>
        <v>4.0099999999999997E-2</v>
      </c>
      <c r="L19" s="141">
        <f t="shared" si="13"/>
        <v>4.0099999999999997E-2</v>
      </c>
      <c r="M19" s="141">
        <f t="shared" si="13"/>
        <v>4.0099999999999997E-2</v>
      </c>
    </row>
    <row r="20" spans="1:13" x14ac:dyDescent="0.25">
      <c r="A20" s="5" t="s">
        <v>207</v>
      </c>
      <c r="B20" s="175">
        <v>0</v>
      </c>
      <c r="C20" s="175">
        <f t="shared" si="12"/>
        <v>0</v>
      </c>
      <c r="D20" s="175">
        <f t="shared" si="12"/>
        <v>0</v>
      </c>
      <c r="E20" s="175">
        <f t="shared" si="12"/>
        <v>0</v>
      </c>
      <c r="F20" s="175">
        <f t="shared" si="12"/>
        <v>0</v>
      </c>
      <c r="G20" s="175">
        <f t="shared" si="12"/>
        <v>0</v>
      </c>
      <c r="H20" s="175">
        <f t="shared" si="12"/>
        <v>0</v>
      </c>
      <c r="I20" s="175">
        <f t="shared" si="12"/>
        <v>0</v>
      </c>
      <c r="J20" s="175">
        <f t="shared" si="12"/>
        <v>0</v>
      </c>
      <c r="K20" s="175">
        <f t="shared" si="12"/>
        <v>0</v>
      </c>
      <c r="L20" s="175">
        <f t="shared" si="12"/>
        <v>0</v>
      </c>
      <c r="M20" s="175">
        <f t="shared" si="12"/>
        <v>0</v>
      </c>
    </row>
    <row r="21" spans="1:13" x14ac:dyDescent="0.25">
      <c r="A21" s="5" t="s">
        <v>208</v>
      </c>
      <c r="B21" s="175">
        <v>0</v>
      </c>
      <c r="C21" s="175">
        <f t="shared" si="12"/>
        <v>0</v>
      </c>
      <c r="D21" s="175">
        <f t="shared" si="12"/>
        <v>0</v>
      </c>
      <c r="E21" s="175">
        <f t="shared" si="12"/>
        <v>0</v>
      </c>
      <c r="F21" s="175">
        <f t="shared" si="12"/>
        <v>0</v>
      </c>
      <c r="G21" s="175">
        <f t="shared" si="12"/>
        <v>0</v>
      </c>
      <c r="H21" s="175">
        <f t="shared" si="12"/>
        <v>0</v>
      </c>
      <c r="I21" s="175">
        <f t="shared" si="12"/>
        <v>0</v>
      </c>
      <c r="J21" s="175">
        <f t="shared" si="12"/>
        <v>0</v>
      </c>
      <c r="K21" s="175">
        <f t="shared" si="12"/>
        <v>0</v>
      </c>
      <c r="L21" s="175">
        <f t="shared" si="12"/>
        <v>0</v>
      </c>
      <c r="M21" s="175">
        <f t="shared" si="12"/>
        <v>0</v>
      </c>
    </row>
    <row r="22" spans="1:13" x14ac:dyDescent="0.25">
      <c r="A22" s="5" t="s">
        <v>209</v>
      </c>
      <c r="B22" s="175">
        <v>0</v>
      </c>
      <c r="C22" s="175">
        <f t="shared" si="12"/>
        <v>0</v>
      </c>
      <c r="D22" s="175">
        <f t="shared" si="12"/>
        <v>0</v>
      </c>
      <c r="E22" s="175">
        <f t="shared" si="12"/>
        <v>0</v>
      </c>
      <c r="F22" s="175">
        <f t="shared" si="12"/>
        <v>0</v>
      </c>
      <c r="G22" s="175">
        <f t="shared" si="12"/>
        <v>0</v>
      </c>
      <c r="H22" s="175">
        <f t="shared" si="12"/>
        <v>0</v>
      </c>
      <c r="I22" s="175">
        <f t="shared" si="12"/>
        <v>0</v>
      </c>
      <c r="J22" s="175">
        <f t="shared" si="12"/>
        <v>0</v>
      </c>
      <c r="K22" s="175">
        <f t="shared" si="12"/>
        <v>0</v>
      </c>
      <c r="L22" s="175">
        <f t="shared" si="12"/>
        <v>0</v>
      </c>
      <c r="M22" s="175">
        <f t="shared" si="12"/>
        <v>0</v>
      </c>
    </row>
    <row r="23" spans="1:13" x14ac:dyDescent="0.25">
      <c r="A23" s="5" t="str">
        <f>+A21&amp;" - "&amp;A22</f>
        <v>Retraite IRCEM T2 - CEG T2</v>
      </c>
      <c r="B23" s="141">
        <v>0</v>
      </c>
      <c r="C23" s="141">
        <f t="shared" si="12"/>
        <v>0</v>
      </c>
      <c r="D23" s="141">
        <f t="shared" si="12"/>
        <v>0</v>
      </c>
      <c r="E23" s="141">
        <f t="shared" si="12"/>
        <v>0</v>
      </c>
      <c r="F23" s="141">
        <f t="shared" si="12"/>
        <v>0</v>
      </c>
      <c r="G23" s="141">
        <f t="shared" si="12"/>
        <v>0</v>
      </c>
      <c r="H23" s="141">
        <f t="shared" si="12"/>
        <v>0</v>
      </c>
      <c r="I23" s="141">
        <f t="shared" si="12"/>
        <v>0</v>
      </c>
      <c r="J23" s="141">
        <f t="shared" si="12"/>
        <v>0</v>
      </c>
      <c r="K23" s="141">
        <f t="shared" si="12"/>
        <v>0</v>
      </c>
      <c r="L23" s="141">
        <f t="shared" si="12"/>
        <v>0</v>
      </c>
      <c r="M23" s="141">
        <f t="shared" si="12"/>
        <v>0</v>
      </c>
    </row>
    <row r="24" spans="1:13" x14ac:dyDescent="0.25">
      <c r="A24" s="6" t="s">
        <v>48</v>
      </c>
      <c r="B24" s="141"/>
      <c r="C24" s="141"/>
      <c r="D24" s="141"/>
      <c r="E24" s="141"/>
      <c r="F24" s="141"/>
      <c r="G24" s="141"/>
      <c r="H24" s="141"/>
      <c r="I24" s="141"/>
      <c r="J24" s="141"/>
      <c r="K24" s="141"/>
      <c r="L24" s="141"/>
      <c r="M24" s="141"/>
    </row>
    <row r="25" spans="1:13" x14ac:dyDescent="0.25">
      <c r="A25" s="6" t="s">
        <v>245</v>
      </c>
      <c r="B25" s="141"/>
      <c r="C25" s="141"/>
      <c r="D25" s="141"/>
      <c r="E25" s="141"/>
      <c r="F25" s="141"/>
      <c r="G25" s="141"/>
      <c r="H25" s="141"/>
      <c r="I25" s="141"/>
      <c r="J25" s="141"/>
      <c r="K25" s="141"/>
      <c r="L25" s="141"/>
      <c r="M25" s="141"/>
    </row>
    <row r="26" spans="1:13" x14ac:dyDescent="0.25">
      <c r="A26" s="6" t="s">
        <v>244</v>
      </c>
      <c r="B26" s="141"/>
      <c r="C26" s="141"/>
      <c r="D26" s="141"/>
      <c r="E26" s="141"/>
      <c r="F26" s="141"/>
      <c r="G26" s="141"/>
      <c r="H26" s="141"/>
      <c r="I26" s="141"/>
      <c r="J26" s="141"/>
      <c r="K26" s="141"/>
      <c r="L26" s="141"/>
      <c r="M26" s="141"/>
    </row>
    <row r="27" spans="1:13" x14ac:dyDescent="0.25">
      <c r="A27" s="7" t="s">
        <v>49</v>
      </c>
      <c r="B27" s="142"/>
      <c r="C27" s="142"/>
      <c r="D27" s="142"/>
      <c r="E27" s="142"/>
      <c r="F27" s="142"/>
      <c r="G27" s="142"/>
      <c r="H27" s="142"/>
      <c r="I27" s="142"/>
      <c r="J27" s="142"/>
      <c r="K27" s="142"/>
      <c r="L27" s="142"/>
      <c r="M27" s="142"/>
    </row>
    <row r="28" spans="1:13" x14ac:dyDescent="0.25">
      <c r="A28" s="7" t="s">
        <v>210</v>
      </c>
      <c r="B28" s="142"/>
      <c r="C28" s="142"/>
      <c r="D28" s="142"/>
      <c r="E28" s="142"/>
      <c r="F28" s="142"/>
      <c r="G28" s="142"/>
      <c r="H28" s="142"/>
      <c r="I28" s="142"/>
      <c r="J28" s="142"/>
      <c r="K28" s="142"/>
      <c r="L28" s="142"/>
      <c r="M28" s="142"/>
    </row>
    <row r="29" spans="1:13" x14ac:dyDescent="0.25">
      <c r="A29" s="1" t="s">
        <v>50</v>
      </c>
      <c r="B29" s="175">
        <v>0</v>
      </c>
      <c r="C29" s="175">
        <f>+B29</f>
        <v>0</v>
      </c>
      <c r="D29" s="175">
        <f t="shared" ref="D29:M31" si="14">+C29</f>
        <v>0</v>
      </c>
      <c r="E29" s="175">
        <f t="shared" si="14"/>
        <v>0</v>
      </c>
      <c r="F29" s="175">
        <f t="shared" si="14"/>
        <v>0</v>
      </c>
      <c r="G29" s="175">
        <f t="shared" si="14"/>
        <v>0</v>
      </c>
      <c r="H29" s="175">
        <f t="shared" si="14"/>
        <v>0</v>
      </c>
      <c r="I29" s="175">
        <f t="shared" si="14"/>
        <v>0</v>
      </c>
      <c r="J29" s="175">
        <f t="shared" si="14"/>
        <v>0</v>
      </c>
      <c r="K29" s="175">
        <f t="shared" si="14"/>
        <v>0</v>
      </c>
      <c r="L29" s="175">
        <f t="shared" si="14"/>
        <v>0</v>
      </c>
      <c r="M29" s="175">
        <f t="shared" si="14"/>
        <v>0</v>
      </c>
    </row>
    <row r="30" spans="1:13" x14ac:dyDescent="0.25">
      <c r="A30" s="1" t="s">
        <v>51</v>
      </c>
      <c r="B30" s="175">
        <v>0</v>
      </c>
      <c r="C30" s="175">
        <f>+B30</f>
        <v>0</v>
      </c>
      <c r="D30" s="175">
        <f t="shared" si="14"/>
        <v>0</v>
      </c>
      <c r="E30" s="175">
        <f t="shared" si="14"/>
        <v>0</v>
      </c>
      <c r="F30" s="175">
        <f t="shared" si="14"/>
        <v>0</v>
      </c>
      <c r="G30" s="175">
        <f t="shared" si="14"/>
        <v>0</v>
      </c>
      <c r="H30" s="175">
        <f t="shared" si="14"/>
        <v>0</v>
      </c>
      <c r="I30" s="175">
        <f t="shared" si="14"/>
        <v>0</v>
      </c>
      <c r="J30" s="175">
        <f t="shared" si="14"/>
        <v>0</v>
      </c>
      <c r="K30" s="175">
        <f t="shared" si="14"/>
        <v>0</v>
      </c>
      <c r="L30" s="175">
        <f t="shared" si="14"/>
        <v>0</v>
      </c>
      <c r="M30" s="175">
        <f t="shared" si="14"/>
        <v>0</v>
      </c>
    </row>
    <row r="31" spans="1:13" x14ac:dyDescent="0.25">
      <c r="A31" s="1" t="s">
        <v>52</v>
      </c>
      <c r="B31" s="175">
        <v>0</v>
      </c>
      <c r="C31" s="175">
        <f>+B31</f>
        <v>0</v>
      </c>
      <c r="D31" s="175">
        <f t="shared" si="14"/>
        <v>0</v>
      </c>
      <c r="E31" s="175">
        <f t="shared" si="14"/>
        <v>0</v>
      </c>
      <c r="F31" s="175">
        <f t="shared" si="14"/>
        <v>0</v>
      </c>
      <c r="G31" s="175">
        <f t="shared" si="14"/>
        <v>0</v>
      </c>
      <c r="H31" s="175">
        <f t="shared" si="14"/>
        <v>0</v>
      </c>
      <c r="I31" s="175">
        <f t="shared" si="14"/>
        <v>0</v>
      </c>
      <c r="J31" s="175">
        <f t="shared" si="14"/>
        <v>0</v>
      </c>
      <c r="K31" s="175">
        <f t="shared" si="14"/>
        <v>0</v>
      </c>
      <c r="L31" s="175">
        <f t="shared" si="14"/>
        <v>0</v>
      </c>
      <c r="M31" s="175">
        <f t="shared" si="14"/>
        <v>0</v>
      </c>
    </row>
    <row r="32" spans="1:13" x14ac:dyDescent="0.25">
      <c r="A32" s="747" t="s">
        <v>53</v>
      </c>
      <c r="B32" s="175">
        <v>0</v>
      </c>
      <c r="C32" s="175">
        <f>+B32</f>
        <v>0</v>
      </c>
      <c r="D32" s="175">
        <f>+C32</f>
        <v>0</v>
      </c>
      <c r="E32" s="175">
        <f>+D32</f>
        <v>0</v>
      </c>
      <c r="F32" s="175">
        <f>+E32</f>
        <v>0</v>
      </c>
      <c r="G32" s="175">
        <f>+F32</f>
        <v>0</v>
      </c>
      <c r="H32" s="175">
        <f>+G32</f>
        <v>0</v>
      </c>
      <c r="I32" s="175">
        <f>+H32</f>
        <v>0</v>
      </c>
      <c r="J32" s="175">
        <f>+I32</f>
        <v>0</v>
      </c>
      <c r="K32" s="175">
        <f>+J32</f>
        <v>0</v>
      </c>
      <c r="L32" s="175">
        <f>+K32</f>
        <v>0</v>
      </c>
      <c r="M32" s="175">
        <f>+L32</f>
        <v>0</v>
      </c>
    </row>
    <row r="33" spans="1:13" x14ac:dyDescent="0.25">
      <c r="A33" s="151"/>
      <c r="B33" s="151"/>
      <c r="C33" s="151"/>
      <c r="D33" s="151"/>
      <c r="E33" s="151"/>
      <c r="F33" s="151"/>
      <c r="G33" s="151"/>
      <c r="H33" s="151"/>
      <c r="I33" s="151"/>
      <c r="J33" s="151"/>
      <c r="K33" s="151"/>
      <c r="L33" s="151"/>
      <c r="M33" s="151"/>
    </row>
    <row r="34" spans="1:13" x14ac:dyDescent="0.25">
      <c r="B34" s="143">
        <f>SUM(B9:B31)</f>
        <v>0.17589999999999997</v>
      </c>
      <c r="C34" s="143">
        <f>SUM(C9:C31)</f>
        <v>0.17589999999999997</v>
      </c>
      <c r="D34" s="143">
        <f>SUM(D9:D31)</f>
        <v>0.17589999999999997</v>
      </c>
      <c r="E34" s="143">
        <f>SUM(E9:E31)</f>
        <v>0.17589999999999997</v>
      </c>
      <c r="F34" s="143">
        <f>SUM(F9:F31)</f>
        <v>0.17589999999999997</v>
      </c>
      <c r="G34" s="143">
        <f>SUM(G9:G31)</f>
        <v>0.17589999999999997</v>
      </c>
      <c r="H34" s="143">
        <f>SUM(H9:H31)</f>
        <v>0.17589999999999997</v>
      </c>
      <c r="I34" s="143">
        <f>SUM(I9:I31)</f>
        <v>0.17589999999999997</v>
      </c>
      <c r="J34" s="143">
        <f>SUM(J9:J31)</f>
        <v>0.17589999999999997</v>
      </c>
      <c r="K34" s="143">
        <f>SUM(K9:K31)</f>
        <v>0.17589999999999997</v>
      </c>
      <c r="L34" s="143">
        <f>SUM(L9:L31)</f>
        <v>0.17589999999999997</v>
      </c>
      <c r="M34" s="143">
        <f>SUM(M9:M31)</f>
        <v>0.17589999999999997</v>
      </c>
    </row>
    <row r="35" spans="1:13" x14ac:dyDescent="0.25">
      <c r="C35" s="144"/>
      <c r="E35" s="144"/>
      <c r="F35" s="144"/>
      <c r="H35" s="144"/>
      <c r="J35" s="144"/>
      <c r="L35" s="144"/>
    </row>
    <row r="36" spans="1:13" x14ac:dyDescent="0.25">
      <c r="A36" s="133" t="s">
        <v>211</v>
      </c>
      <c r="C36" s="144"/>
      <c r="E36" s="144"/>
      <c r="G36" s="144"/>
      <c r="I36" s="144"/>
      <c r="K36" s="144"/>
      <c r="M36" s="144"/>
    </row>
    <row r="37" spans="1:13" x14ac:dyDescent="0.25">
      <c r="C37" s="144"/>
      <c r="E37" s="144"/>
      <c r="G37" s="144"/>
      <c r="I37" s="144"/>
      <c r="K37" s="144"/>
      <c r="M37" s="144"/>
    </row>
    <row r="38" spans="1:13" x14ac:dyDescent="0.25">
      <c r="B38" s="134" t="s">
        <v>189</v>
      </c>
      <c r="C38" s="135" t="s">
        <v>190</v>
      </c>
      <c r="D38" s="134" t="s">
        <v>191</v>
      </c>
      <c r="E38" s="135" t="s">
        <v>192</v>
      </c>
      <c r="F38" s="134" t="s">
        <v>193</v>
      </c>
      <c r="G38" s="135" t="s">
        <v>194</v>
      </c>
      <c r="H38" s="134" t="s">
        <v>195</v>
      </c>
      <c r="I38" s="135" t="s">
        <v>196</v>
      </c>
      <c r="J38" s="134" t="s">
        <v>197</v>
      </c>
      <c r="K38" s="135" t="s">
        <v>198</v>
      </c>
      <c r="L38" s="134" t="s">
        <v>199</v>
      </c>
      <c r="M38" s="136" t="s">
        <v>200</v>
      </c>
    </row>
    <row r="39" spans="1:13" x14ac:dyDescent="0.25">
      <c r="B39" s="138">
        <f>+B6</f>
        <v>45658</v>
      </c>
      <c r="C39" s="138">
        <f>+C6</f>
        <v>45689</v>
      </c>
      <c r="D39" s="138">
        <f>+D6</f>
        <v>45717</v>
      </c>
      <c r="E39" s="138">
        <f>+E6</f>
        <v>45748</v>
      </c>
      <c r="F39" s="138">
        <f>+F6</f>
        <v>45778</v>
      </c>
      <c r="G39" s="138">
        <f>+G6</f>
        <v>45809</v>
      </c>
      <c r="H39" s="138">
        <f>+H6</f>
        <v>45839</v>
      </c>
      <c r="I39" s="138">
        <f>+I6</f>
        <v>45870</v>
      </c>
      <c r="J39" s="138">
        <f>+J6</f>
        <v>45901</v>
      </c>
      <c r="K39" s="138">
        <f>+K6</f>
        <v>45931</v>
      </c>
      <c r="L39" s="138">
        <f>+L6</f>
        <v>45962</v>
      </c>
      <c r="M39" s="138">
        <f>+M6</f>
        <v>45992</v>
      </c>
    </row>
    <row r="40" spans="1:13" ht="30" x14ac:dyDescent="0.25">
      <c r="B40" s="145" t="s">
        <v>111</v>
      </c>
      <c r="C40" s="145" t="s">
        <v>111</v>
      </c>
      <c r="D40" s="145" t="s">
        <v>111</v>
      </c>
      <c r="E40" s="145" t="s">
        <v>111</v>
      </c>
      <c r="F40" s="145" t="s">
        <v>111</v>
      </c>
      <c r="G40" s="145" t="s">
        <v>111</v>
      </c>
      <c r="H40" s="145" t="s">
        <v>111</v>
      </c>
      <c r="I40" s="145" t="s">
        <v>111</v>
      </c>
      <c r="J40" s="145" t="s">
        <v>111</v>
      </c>
      <c r="K40" s="145" t="s">
        <v>111</v>
      </c>
      <c r="L40" s="145" t="s">
        <v>111</v>
      </c>
      <c r="M40" s="145" t="s">
        <v>111</v>
      </c>
    </row>
    <row r="41" spans="1:13" x14ac:dyDescent="0.25">
      <c r="B41" s="9" t="s">
        <v>23</v>
      </c>
      <c r="C41" s="9" t="s">
        <v>23</v>
      </c>
      <c r="D41" s="9" t="s">
        <v>23</v>
      </c>
      <c r="E41" s="9" t="s">
        <v>23</v>
      </c>
      <c r="F41" s="9" t="s">
        <v>23</v>
      </c>
      <c r="G41" s="9" t="s">
        <v>23</v>
      </c>
      <c r="H41" s="9" t="s">
        <v>23</v>
      </c>
      <c r="I41" s="9" t="s">
        <v>23</v>
      </c>
      <c r="J41" s="9" t="s">
        <v>23</v>
      </c>
      <c r="K41" s="9" t="s">
        <v>23</v>
      </c>
      <c r="L41" s="9" t="s">
        <v>23</v>
      </c>
      <c r="M41" s="9" t="s">
        <v>23</v>
      </c>
    </row>
    <row r="42" spans="1:13" x14ac:dyDescent="0.25">
      <c r="A42" s="4" t="str">
        <f>A9</f>
        <v>Santé :</v>
      </c>
      <c r="B42" s="146"/>
      <c r="C42" s="146"/>
      <c r="D42" s="146"/>
      <c r="E42" s="146"/>
      <c r="F42" s="146"/>
      <c r="G42" s="146"/>
      <c r="H42" s="146"/>
      <c r="I42" s="146"/>
      <c r="J42" s="146"/>
      <c r="K42" s="146"/>
      <c r="L42" s="146"/>
      <c r="M42" s="146"/>
    </row>
    <row r="43" spans="1:13" x14ac:dyDescent="0.25">
      <c r="A43" s="5" t="str">
        <f>A10</f>
        <v>Séc. Soc. Maladie invalidité</v>
      </c>
      <c r="B43" s="176">
        <v>0</v>
      </c>
      <c r="C43" s="176">
        <f>+B43</f>
        <v>0</v>
      </c>
      <c r="D43" s="176">
        <f t="shared" ref="D43:M46" si="15">+C43</f>
        <v>0</v>
      </c>
      <c r="E43" s="176">
        <f t="shared" si="15"/>
        <v>0</v>
      </c>
      <c r="F43" s="176">
        <f t="shared" si="15"/>
        <v>0</v>
      </c>
      <c r="G43" s="176">
        <f t="shared" si="15"/>
        <v>0</v>
      </c>
      <c r="H43" s="176">
        <f t="shared" si="15"/>
        <v>0</v>
      </c>
      <c r="I43" s="176">
        <f t="shared" si="15"/>
        <v>0</v>
      </c>
      <c r="J43" s="176">
        <f t="shared" si="15"/>
        <v>0</v>
      </c>
      <c r="K43" s="176">
        <f t="shared" si="15"/>
        <v>0</v>
      </c>
      <c r="L43" s="176">
        <f t="shared" si="15"/>
        <v>0</v>
      </c>
      <c r="M43" s="176">
        <f t="shared" si="15"/>
        <v>0</v>
      </c>
    </row>
    <row r="44" spans="1:13" x14ac:dyDescent="0.25">
      <c r="A44" s="5" t="str">
        <f>A11</f>
        <v>Prévoyance T1</v>
      </c>
      <c r="B44" s="176">
        <v>2.4500000000000001E-2</v>
      </c>
      <c r="C44" s="176">
        <f>+B44</f>
        <v>2.4500000000000001E-2</v>
      </c>
      <c r="D44" s="176">
        <f t="shared" si="15"/>
        <v>2.4500000000000001E-2</v>
      </c>
      <c r="E44" s="176">
        <f t="shared" si="15"/>
        <v>2.4500000000000001E-2</v>
      </c>
      <c r="F44" s="176">
        <f t="shared" si="15"/>
        <v>2.4500000000000001E-2</v>
      </c>
      <c r="G44" s="176">
        <f t="shared" si="15"/>
        <v>2.4500000000000001E-2</v>
      </c>
      <c r="H44" s="176">
        <f t="shared" si="15"/>
        <v>2.4500000000000001E-2</v>
      </c>
      <c r="I44" s="176">
        <f t="shared" si="15"/>
        <v>2.4500000000000001E-2</v>
      </c>
      <c r="J44" s="176">
        <f t="shared" si="15"/>
        <v>2.4500000000000001E-2</v>
      </c>
      <c r="K44" s="176">
        <f t="shared" si="15"/>
        <v>2.4500000000000001E-2</v>
      </c>
      <c r="L44" s="176">
        <f t="shared" si="15"/>
        <v>2.4500000000000001E-2</v>
      </c>
      <c r="M44" s="176">
        <f t="shared" si="15"/>
        <v>2.4500000000000001E-2</v>
      </c>
    </row>
    <row r="45" spans="1:13" x14ac:dyDescent="0.25">
      <c r="A45" s="5" t="str">
        <f>A12</f>
        <v>Prévoyance T2</v>
      </c>
      <c r="B45" s="176">
        <v>1.2500000000000001E-2</v>
      </c>
      <c r="C45" s="176">
        <f>+B45</f>
        <v>1.2500000000000001E-2</v>
      </c>
      <c r="D45" s="176">
        <f t="shared" si="15"/>
        <v>1.2500000000000001E-2</v>
      </c>
      <c r="E45" s="176">
        <f t="shared" si="15"/>
        <v>1.2500000000000001E-2</v>
      </c>
      <c r="F45" s="176">
        <f t="shared" si="15"/>
        <v>1.2500000000000001E-2</v>
      </c>
      <c r="G45" s="176">
        <f t="shared" si="15"/>
        <v>1.2500000000000001E-2</v>
      </c>
      <c r="H45" s="176">
        <f t="shared" si="15"/>
        <v>1.2500000000000001E-2</v>
      </c>
      <c r="I45" s="176">
        <f t="shared" si="15"/>
        <v>1.2500000000000001E-2</v>
      </c>
      <c r="J45" s="176">
        <f t="shared" si="15"/>
        <v>1.2500000000000001E-2</v>
      </c>
      <c r="K45" s="176">
        <f t="shared" si="15"/>
        <v>1.2500000000000001E-2</v>
      </c>
      <c r="L45" s="176">
        <f t="shared" si="15"/>
        <v>1.2500000000000001E-2</v>
      </c>
      <c r="M45" s="176">
        <f t="shared" si="15"/>
        <v>1.2500000000000001E-2</v>
      </c>
    </row>
    <row r="46" spans="1:13" x14ac:dyDescent="0.25">
      <c r="A46" s="6" t="str">
        <f>A13</f>
        <v>Accident du travail :</v>
      </c>
      <c r="B46" s="176">
        <v>1.4999999999999999E-2</v>
      </c>
      <c r="C46" s="176">
        <f>+B46</f>
        <v>1.4999999999999999E-2</v>
      </c>
      <c r="D46" s="176">
        <f t="shared" si="15"/>
        <v>1.4999999999999999E-2</v>
      </c>
      <c r="E46" s="176">
        <f t="shared" si="15"/>
        <v>1.4999999999999999E-2</v>
      </c>
      <c r="F46" s="176">
        <f t="shared" si="15"/>
        <v>1.4999999999999999E-2</v>
      </c>
      <c r="G46" s="176">
        <f t="shared" si="15"/>
        <v>1.4999999999999999E-2</v>
      </c>
      <c r="H46" s="176">
        <f t="shared" si="15"/>
        <v>1.4999999999999999E-2</v>
      </c>
      <c r="I46" s="176">
        <f t="shared" si="15"/>
        <v>1.4999999999999999E-2</v>
      </c>
      <c r="J46" s="176">
        <f t="shared" si="15"/>
        <v>1.4999999999999999E-2</v>
      </c>
      <c r="K46" s="176">
        <f t="shared" si="15"/>
        <v>1.4999999999999999E-2</v>
      </c>
      <c r="L46" s="176">
        <f t="shared" si="15"/>
        <v>1.4999999999999999E-2</v>
      </c>
      <c r="M46" s="176">
        <f t="shared" si="15"/>
        <v>1.4999999999999999E-2</v>
      </c>
    </row>
    <row r="47" spans="1:13" x14ac:dyDescent="0.25">
      <c r="A47" s="6" t="str">
        <f>A14</f>
        <v>Retraite :</v>
      </c>
      <c r="B47" s="147"/>
      <c r="C47" s="147"/>
      <c r="D47" s="147"/>
      <c r="E47" s="147"/>
      <c r="F47" s="147"/>
      <c r="G47" s="147"/>
      <c r="H47" s="147"/>
      <c r="I47" s="147"/>
      <c r="J47" s="147"/>
      <c r="K47" s="147"/>
      <c r="L47" s="147"/>
      <c r="M47" s="147"/>
    </row>
    <row r="48" spans="1:13" x14ac:dyDescent="0.25">
      <c r="A48" s="5" t="str">
        <f>A15</f>
        <v>Retraite SS T1</v>
      </c>
      <c r="B48" s="176">
        <v>0</v>
      </c>
      <c r="C48" s="176">
        <f t="shared" ref="C48:M56" si="16">+B48</f>
        <v>0</v>
      </c>
      <c r="D48" s="176">
        <f t="shared" si="16"/>
        <v>0</v>
      </c>
      <c r="E48" s="176">
        <f t="shared" si="16"/>
        <v>0</v>
      </c>
      <c r="F48" s="176">
        <f t="shared" si="16"/>
        <v>0</v>
      </c>
      <c r="G48" s="176">
        <f t="shared" si="16"/>
        <v>0</v>
      </c>
      <c r="H48" s="176">
        <f t="shared" si="16"/>
        <v>0</v>
      </c>
      <c r="I48" s="176">
        <f t="shared" si="16"/>
        <v>0</v>
      </c>
      <c r="J48" s="176">
        <f t="shared" si="16"/>
        <v>0</v>
      </c>
      <c r="K48" s="176">
        <f t="shared" si="16"/>
        <v>0</v>
      </c>
      <c r="L48" s="176">
        <f t="shared" si="16"/>
        <v>0</v>
      </c>
      <c r="M48" s="176">
        <f t="shared" si="16"/>
        <v>0</v>
      </c>
    </row>
    <row r="49" spans="1:13" x14ac:dyDescent="0.25">
      <c r="A49" s="5" t="str">
        <f>A16</f>
        <v>Retraite SS Totalité</v>
      </c>
      <c r="B49" s="176">
        <v>0</v>
      </c>
      <c r="C49" s="176">
        <f t="shared" si="16"/>
        <v>0</v>
      </c>
      <c r="D49" s="176">
        <f t="shared" si="16"/>
        <v>0</v>
      </c>
      <c r="E49" s="176">
        <f t="shared" si="16"/>
        <v>0</v>
      </c>
      <c r="F49" s="176">
        <f t="shared" si="16"/>
        <v>0</v>
      </c>
      <c r="G49" s="176">
        <f t="shared" si="16"/>
        <v>0</v>
      </c>
      <c r="H49" s="176">
        <f t="shared" si="16"/>
        <v>0</v>
      </c>
      <c r="I49" s="176">
        <f t="shared" si="16"/>
        <v>0</v>
      </c>
      <c r="J49" s="176">
        <f t="shared" si="16"/>
        <v>0</v>
      </c>
      <c r="K49" s="176">
        <f t="shared" si="16"/>
        <v>0</v>
      </c>
      <c r="L49" s="176">
        <f t="shared" si="16"/>
        <v>0</v>
      </c>
      <c r="M49" s="176">
        <f t="shared" si="16"/>
        <v>0</v>
      </c>
    </row>
    <row r="50" spans="1:13" x14ac:dyDescent="0.25">
      <c r="A50" s="5" t="str">
        <f>A17</f>
        <v>Retraite IRCEM T1</v>
      </c>
      <c r="B50" s="176">
        <v>4.7199999999999999E-2</v>
      </c>
      <c r="C50" s="176">
        <f t="shared" si="16"/>
        <v>4.7199999999999999E-2</v>
      </c>
      <c r="D50" s="176">
        <f t="shared" si="16"/>
        <v>4.7199999999999999E-2</v>
      </c>
      <c r="E50" s="176">
        <f t="shared" si="16"/>
        <v>4.7199999999999999E-2</v>
      </c>
      <c r="F50" s="176">
        <f t="shared" si="16"/>
        <v>4.7199999999999999E-2</v>
      </c>
      <c r="G50" s="176">
        <f t="shared" si="16"/>
        <v>4.7199999999999999E-2</v>
      </c>
      <c r="H50" s="176">
        <f t="shared" si="16"/>
        <v>4.7199999999999999E-2</v>
      </c>
      <c r="I50" s="176">
        <f t="shared" si="16"/>
        <v>4.7199999999999999E-2</v>
      </c>
      <c r="J50" s="176">
        <f t="shared" si="16"/>
        <v>4.7199999999999999E-2</v>
      </c>
      <c r="K50" s="176">
        <f t="shared" si="16"/>
        <v>4.7199999999999999E-2</v>
      </c>
      <c r="L50" s="176">
        <f t="shared" si="16"/>
        <v>4.7199999999999999E-2</v>
      </c>
      <c r="M50" s="176">
        <f t="shared" si="16"/>
        <v>4.7199999999999999E-2</v>
      </c>
    </row>
    <row r="51" spans="1:13" x14ac:dyDescent="0.25">
      <c r="A51" s="5" t="str">
        <f>A18</f>
        <v>CEG T1</v>
      </c>
      <c r="B51" s="176">
        <v>1.29E-2</v>
      </c>
      <c r="C51" s="176">
        <f t="shared" si="16"/>
        <v>1.29E-2</v>
      </c>
      <c r="D51" s="176">
        <f t="shared" si="16"/>
        <v>1.29E-2</v>
      </c>
      <c r="E51" s="176">
        <f t="shared" si="16"/>
        <v>1.29E-2</v>
      </c>
      <c r="F51" s="176">
        <f t="shared" si="16"/>
        <v>1.29E-2</v>
      </c>
      <c r="G51" s="176">
        <f t="shared" si="16"/>
        <v>1.29E-2</v>
      </c>
      <c r="H51" s="176">
        <f t="shared" si="16"/>
        <v>1.29E-2</v>
      </c>
      <c r="I51" s="176">
        <f t="shared" si="16"/>
        <v>1.29E-2</v>
      </c>
      <c r="J51" s="176">
        <f t="shared" si="16"/>
        <v>1.29E-2</v>
      </c>
      <c r="K51" s="176">
        <f t="shared" si="16"/>
        <v>1.29E-2</v>
      </c>
      <c r="L51" s="176">
        <f t="shared" si="16"/>
        <v>1.29E-2</v>
      </c>
      <c r="M51" s="176">
        <f t="shared" si="16"/>
        <v>1.29E-2</v>
      </c>
    </row>
    <row r="52" spans="1:13" x14ac:dyDescent="0.25">
      <c r="A52" s="5" t="str">
        <f>A19</f>
        <v>Retraite IRCEM T1 - CEG T1</v>
      </c>
      <c r="B52" s="147">
        <f>+B51+B50</f>
        <v>6.0100000000000001E-2</v>
      </c>
      <c r="C52" s="147">
        <f t="shared" si="16"/>
        <v>6.0100000000000001E-2</v>
      </c>
      <c r="D52" s="147">
        <f t="shared" si="16"/>
        <v>6.0100000000000001E-2</v>
      </c>
      <c r="E52" s="147">
        <f t="shared" si="16"/>
        <v>6.0100000000000001E-2</v>
      </c>
      <c r="F52" s="147">
        <f t="shared" si="16"/>
        <v>6.0100000000000001E-2</v>
      </c>
      <c r="G52" s="147">
        <f t="shared" si="16"/>
        <v>6.0100000000000001E-2</v>
      </c>
      <c r="H52" s="147">
        <f t="shared" si="16"/>
        <v>6.0100000000000001E-2</v>
      </c>
      <c r="I52" s="147">
        <f t="shared" si="16"/>
        <v>6.0100000000000001E-2</v>
      </c>
      <c r="J52" s="147">
        <f t="shared" si="16"/>
        <v>6.0100000000000001E-2</v>
      </c>
      <c r="K52" s="147">
        <f t="shared" si="16"/>
        <v>6.0100000000000001E-2</v>
      </c>
      <c r="L52" s="147">
        <f t="shared" si="16"/>
        <v>6.0100000000000001E-2</v>
      </c>
      <c r="M52" s="147">
        <f t="shared" si="16"/>
        <v>6.0100000000000001E-2</v>
      </c>
    </row>
    <row r="53" spans="1:13" x14ac:dyDescent="0.25">
      <c r="A53" s="5" t="str">
        <f>A20</f>
        <v>CET si plafond SS atteint</v>
      </c>
      <c r="B53" s="176">
        <v>0</v>
      </c>
      <c r="C53" s="176">
        <f t="shared" si="16"/>
        <v>0</v>
      </c>
      <c r="D53" s="176">
        <f t="shared" si="16"/>
        <v>0</v>
      </c>
      <c r="E53" s="176">
        <f t="shared" si="16"/>
        <v>0</v>
      </c>
      <c r="F53" s="176">
        <f t="shared" si="16"/>
        <v>0</v>
      </c>
      <c r="G53" s="176">
        <f t="shared" si="16"/>
        <v>0</v>
      </c>
      <c r="H53" s="176">
        <f t="shared" si="16"/>
        <v>0</v>
      </c>
      <c r="I53" s="176">
        <f t="shared" si="16"/>
        <v>0</v>
      </c>
      <c r="J53" s="176">
        <f t="shared" si="16"/>
        <v>0</v>
      </c>
      <c r="K53" s="176">
        <f t="shared" si="16"/>
        <v>0</v>
      </c>
      <c r="L53" s="176">
        <f t="shared" si="16"/>
        <v>0</v>
      </c>
      <c r="M53" s="176">
        <f t="shared" si="16"/>
        <v>0</v>
      </c>
    </row>
    <row r="54" spans="1:13" x14ac:dyDescent="0.25">
      <c r="A54" s="5" t="str">
        <f>A21</f>
        <v>Retraite IRCEM T2</v>
      </c>
      <c r="B54" s="176">
        <v>0</v>
      </c>
      <c r="C54" s="176">
        <f t="shared" si="16"/>
        <v>0</v>
      </c>
      <c r="D54" s="176">
        <f t="shared" si="16"/>
        <v>0</v>
      </c>
      <c r="E54" s="176">
        <f t="shared" si="16"/>
        <v>0</v>
      </c>
      <c r="F54" s="176">
        <f t="shared" si="16"/>
        <v>0</v>
      </c>
      <c r="G54" s="176">
        <f t="shared" si="16"/>
        <v>0</v>
      </c>
      <c r="H54" s="176">
        <f t="shared" si="16"/>
        <v>0</v>
      </c>
      <c r="I54" s="176">
        <f t="shared" si="16"/>
        <v>0</v>
      </c>
      <c r="J54" s="176">
        <f t="shared" si="16"/>
        <v>0</v>
      </c>
      <c r="K54" s="176">
        <f t="shared" si="16"/>
        <v>0</v>
      </c>
      <c r="L54" s="176">
        <f t="shared" si="16"/>
        <v>0</v>
      </c>
      <c r="M54" s="176">
        <f t="shared" si="16"/>
        <v>0</v>
      </c>
    </row>
    <row r="55" spans="1:13" x14ac:dyDescent="0.25">
      <c r="A55" s="5" t="str">
        <f>A22</f>
        <v>CEG T2</v>
      </c>
      <c r="B55" s="176">
        <v>0</v>
      </c>
      <c r="C55" s="176">
        <f t="shared" si="16"/>
        <v>0</v>
      </c>
      <c r="D55" s="176">
        <f t="shared" si="16"/>
        <v>0</v>
      </c>
      <c r="E55" s="176">
        <f t="shared" si="16"/>
        <v>0</v>
      </c>
      <c r="F55" s="176">
        <f t="shared" si="16"/>
        <v>0</v>
      </c>
      <c r="G55" s="176">
        <f t="shared" si="16"/>
        <v>0</v>
      </c>
      <c r="H55" s="176">
        <f t="shared" si="16"/>
        <v>0</v>
      </c>
      <c r="I55" s="176">
        <f t="shared" si="16"/>
        <v>0</v>
      </c>
      <c r="J55" s="176">
        <f t="shared" si="16"/>
        <v>0</v>
      </c>
      <c r="K55" s="176">
        <f t="shared" si="16"/>
        <v>0</v>
      </c>
      <c r="L55" s="176">
        <f t="shared" si="16"/>
        <v>0</v>
      </c>
      <c r="M55" s="176">
        <f t="shared" si="16"/>
        <v>0</v>
      </c>
    </row>
    <row r="56" spans="1:13" x14ac:dyDescent="0.25">
      <c r="A56" s="5" t="str">
        <f>A23</f>
        <v>Retraite IRCEM T2 - CEG T2</v>
      </c>
      <c r="B56" s="147">
        <f>+B54+B55</f>
        <v>0</v>
      </c>
      <c r="C56" s="147">
        <f t="shared" si="16"/>
        <v>0</v>
      </c>
      <c r="D56" s="147">
        <f t="shared" si="16"/>
        <v>0</v>
      </c>
      <c r="E56" s="147">
        <f t="shared" si="16"/>
        <v>0</v>
      </c>
      <c r="F56" s="147">
        <f t="shared" si="16"/>
        <v>0</v>
      </c>
      <c r="G56" s="147">
        <f t="shared" si="16"/>
        <v>0</v>
      </c>
      <c r="H56" s="147">
        <f t="shared" si="16"/>
        <v>0</v>
      </c>
      <c r="I56" s="147">
        <f t="shared" si="16"/>
        <v>0</v>
      </c>
      <c r="J56" s="147">
        <f t="shared" si="16"/>
        <v>0</v>
      </c>
      <c r="K56" s="147">
        <f t="shared" si="16"/>
        <v>0</v>
      </c>
      <c r="L56" s="147">
        <f t="shared" si="16"/>
        <v>0</v>
      </c>
      <c r="M56" s="147">
        <f t="shared" si="16"/>
        <v>0</v>
      </c>
    </row>
    <row r="57" spans="1:13" x14ac:dyDescent="0.25">
      <c r="A57" s="6" t="str">
        <f>+A24</f>
        <v>Famille :</v>
      </c>
      <c r="B57" s="176">
        <v>0</v>
      </c>
      <c r="C57" s="176">
        <f>+B57</f>
        <v>0</v>
      </c>
      <c r="D57" s="176">
        <f t="shared" ref="D57:M58" si="17">+C57</f>
        <v>0</v>
      </c>
      <c r="E57" s="176">
        <f t="shared" si="17"/>
        <v>0</v>
      </c>
      <c r="F57" s="176">
        <f t="shared" si="17"/>
        <v>0</v>
      </c>
      <c r="G57" s="176">
        <f t="shared" si="17"/>
        <v>0</v>
      </c>
      <c r="H57" s="176">
        <f t="shared" si="17"/>
        <v>0</v>
      </c>
      <c r="I57" s="176">
        <f t="shared" si="17"/>
        <v>0</v>
      </c>
      <c r="J57" s="176">
        <f t="shared" si="17"/>
        <v>0</v>
      </c>
      <c r="K57" s="176">
        <f t="shared" si="17"/>
        <v>0</v>
      </c>
      <c r="L57" s="176">
        <f t="shared" si="17"/>
        <v>0</v>
      </c>
      <c r="M57" s="176">
        <f t="shared" si="17"/>
        <v>0</v>
      </c>
    </row>
    <row r="58" spans="1:13" x14ac:dyDescent="0.25">
      <c r="A58" s="6" t="str">
        <f>A25</f>
        <v>Assurance Chômage :</v>
      </c>
      <c r="B58" s="176">
        <v>4.0500000000000001E-2</v>
      </c>
      <c r="C58" s="176">
        <f>+B58</f>
        <v>4.0500000000000001E-2</v>
      </c>
      <c r="D58" s="176">
        <f t="shared" si="17"/>
        <v>4.0500000000000001E-2</v>
      </c>
      <c r="E58" s="176">
        <f t="shared" si="17"/>
        <v>4.0500000000000001E-2</v>
      </c>
      <c r="F58" s="176">
        <f t="shared" ref="F58" si="18">+E58</f>
        <v>4.0500000000000001E-2</v>
      </c>
      <c r="G58" s="176">
        <f t="shared" ref="G58" si="19">+F58</f>
        <v>4.0500000000000001E-2</v>
      </c>
      <c r="H58" s="176">
        <f t="shared" ref="H58" si="20">+G58</f>
        <v>4.0500000000000001E-2</v>
      </c>
      <c r="I58" s="176">
        <f t="shared" ref="I58" si="21">+H58</f>
        <v>4.0500000000000001E-2</v>
      </c>
      <c r="J58" s="176">
        <f t="shared" ref="J58" si="22">+I58</f>
        <v>4.0500000000000001E-2</v>
      </c>
      <c r="K58" s="176">
        <f t="shared" ref="K58" si="23">+J58</f>
        <v>4.0500000000000001E-2</v>
      </c>
      <c r="L58" s="176">
        <f t="shared" ref="L58" si="24">+K58</f>
        <v>4.0500000000000001E-2</v>
      </c>
      <c r="M58" s="176">
        <f t="shared" ref="M58" si="25">+L58</f>
        <v>4.0500000000000001E-2</v>
      </c>
    </row>
    <row r="59" spans="1:13" x14ac:dyDescent="0.25">
      <c r="A59" s="6" t="str">
        <f>A26</f>
        <v>Contribution Santé au Travail</v>
      </c>
      <c r="B59" s="176">
        <v>0</v>
      </c>
      <c r="C59" s="176">
        <f>+B59</f>
        <v>0</v>
      </c>
      <c r="D59" s="176">
        <f t="shared" ref="D59:M61" si="26">+C59</f>
        <v>0</v>
      </c>
      <c r="E59" s="176">
        <f t="shared" si="26"/>
        <v>0</v>
      </c>
      <c r="F59" s="176">
        <f t="shared" si="26"/>
        <v>0</v>
      </c>
      <c r="G59" s="176">
        <f t="shared" si="26"/>
        <v>0</v>
      </c>
      <c r="H59" s="176">
        <f t="shared" si="26"/>
        <v>0</v>
      </c>
      <c r="I59" s="176">
        <f t="shared" si="26"/>
        <v>0</v>
      </c>
      <c r="J59" s="176">
        <f t="shared" si="26"/>
        <v>0</v>
      </c>
      <c r="K59" s="176">
        <f t="shared" si="26"/>
        <v>0</v>
      </c>
      <c r="L59" s="176">
        <f t="shared" si="26"/>
        <v>0</v>
      </c>
      <c r="M59" s="176">
        <f t="shared" si="26"/>
        <v>0</v>
      </c>
    </row>
    <row r="60" spans="1:13" x14ac:dyDescent="0.25">
      <c r="A60" s="7" t="str">
        <f>A27</f>
        <v>Autres cotisations patronales</v>
      </c>
      <c r="B60" s="177">
        <v>6.6600000000000001E-3</v>
      </c>
      <c r="C60" s="176">
        <f>+B60</f>
        <v>6.6600000000000001E-3</v>
      </c>
      <c r="D60" s="176">
        <f t="shared" ref="D60" si="27">+C60</f>
        <v>6.6600000000000001E-3</v>
      </c>
      <c r="E60" s="176">
        <f t="shared" ref="E60" si="28">+D60</f>
        <v>6.6600000000000001E-3</v>
      </c>
      <c r="F60" s="176">
        <f t="shared" ref="F60" si="29">+E60</f>
        <v>6.6600000000000001E-3</v>
      </c>
      <c r="G60" s="176">
        <f t="shared" ref="G60" si="30">+F60</f>
        <v>6.6600000000000001E-3</v>
      </c>
      <c r="H60" s="176">
        <f t="shared" ref="H60" si="31">+G60</f>
        <v>6.6600000000000001E-3</v>
      </c>
      <c r="I60" s="176">
        <f t="shared" ref="I60" si="32">+H60</f>
        <v>6.6600000000000001E-3</v>
      </c>
      <c r="J60" s="176">
        <f t="shared" ref="J60" si="33">+I60</f>
        <v>6.6600000000000001E-3</v>
      </c>
      <c r="K60" s="176">
        <f t="shared" ref="K60" si="34">+J60</f>
        <v>6.6600000000000001E-3</v>
      </c>
      <c r="L60" s="176">
        <f t="shared" ref="L60" si="35">+K60</f>
        <v>6.6600000000000001E-3</v>
      </c>
      <c r="M60" s="176">
        <f t="shared" ref="M60" si="36">+L60</f>
        <v>6.6600000000000001E-3</v>
      </c>
    </row>
    <row r="61" spans="1:13" x14ac:dyDescent="0.25">
      <c r="A61" s="7" t="str">
        <f>A28</f>
        <v>Autres cotisations patronales T1</v>
      </c>
      <c r="B61" s="177">
        <v>0</v>
      </c>
      <c r="C61" s="177">
        <f>+B61</f>
        <v>0</v>
      </c>
      <c r="D61" s="177">
        <f t="shared" si="26"/>
        <v>0</v>
      </c>
      <c r="E61" s="177">
        <f t="shared" si="26"/>
        <v>0</v>
      </c>
      <c r="F61" s="177">
        <f t="shared" si="26"/>
        <v>0</v>
      </c>
      <c r="G61" s="177">
        <f t="shared" si="26"/>
        <v>0</v>
      </c>
      <c r="H61" s="177">
        <f t="shared" si="26"/>
        <v>0</v>
      </c>
      <c r="I61" s="177">
        <f t="shared" si="26"/>
        <v>0</v>
      </c>
      <c r="J61" s="177">
        <f t="shared" si="26"/>
        <v>0</v>
      </c>
      <c r="K61" s="177">
        <f t="shared" si="26"/>
        <v>0</v>
      </c>
      <c r="L61" s="177">
        <f t="shared" si="26"/>
        <v>0</v>
      </c>
      <c r="M61" s="177">
        <f t="shared" si="26"/>
        <v>0</v>
      </c>
    </row>
    <row r="62" spans="1:13" x14ac:dyDescent="0.25">
      <c r="A62" s="1" t="str">
        <f>A29</f>
        <v>CSG déductible de l'IR</v>
      </c>
      <c r="B62" s="147"/>
      <c r="C62" s="147"/>
      <c r="D62" s="147"/>
      <c r="E62" s="147"/>
      <c r="F62" s="147"/>
      <c r="G62" s="147"/>
      <c r="H62" s="147"/>
      <c r="I62" s="147"/>
      <c r="J62" s="147"/>
      <c r="K62" s="147"/>
      <c r="L62" s="147"/>
      <c r="M62" s="147"/>
    </row>
    <row r="63" spans="1:13" x14ac:dyDescent="0.25">
      <c r="A63" s="1" t="str">
        <f>A30</f>
        <v>CSG/RDS non déductible de l'IR</v>
      </c>
      <c r="B63" s="147"/>
      <c r="C63" s="147"/>
      <c r="D63" s="147"/>
      <c r="E63" s="147"/>
      <c r="F63" s="147"/>
      <c r="G63" s="147"/>
      <c r="H63" s="147"/>
      <c r="I63" s="147"/>
      <c r="J63" s="147"/>
      <c r="K63" s="147"/>
      <c r="L63" s="147"/>
      <c r="M63" s="147"/>
    </row>
    <row r="64" spans="1:13" x14ac:dyDescent="0.25">
      <c r="A64" s="1" t="str">
        <f>A31</f>
        <v>CSG/RDS non déd sur rev non imp</v>
      </c>
      <c r="B64" s="147"/>
      <c r="C64" s="147"/>
      <c r="D64" s="147"/>
      <c r="E64" s="147"/>
      <c r="F64" s="147"/>
      <c r="G64" s="147"/>
      <c r="H64" s="147"/>
      <c r="I64" s="147"/>
      <c r="J64" s="147"/>
      <c r="K64" s="147"/>
      <c r="L64" s="147"/>
      <c r="M64" s="147"/>
    </row>
    <row r="65" spans="1:13" x14ac:dyDescent="0.25">
      <c r="A65" s="1" t="str">
        <f>A32</f>
        <v>Réduction cot. HC et HS</v>
      </c>
      <c r="B65" s="147"/>
      <c r="C65" s="147"/>
      <c r="D65" s="147"/>
      <c r="E65" s="147"/>
      <c r="F65" s="147"/>
      <c r="G65" s="147"/>
      <c r="H65" s="147"/>
      <c r="I65" s="147"/>
      <c r="J65" s="147"/>
      <c r="K65" s="147"/>
      <c r="L65" s="147"/>
      <c r="M65" s="147"/>
    </row>
    <row r="66" spans="1:13" x14ac:dyDescent="0.25">
      <c r="A66" s="749"/>
      <c r="B66" s="148"/>
      <c r="C66" s="748"/>
      <c r="D66" s="748"/>
      <c r="E66" s="748"/>
      <c r="F66" s="748"/>
      <c r="G66" s="748"/>
      <c r="H66" s="748"/>
      <c r="I66" s="748"/>
      <c r="J66" s="748"/>
      <c r="K66" s="748"/>
      <c r="L66" s="748"/>
      <c r="M66" s="748"/>
    </row>
    <row r="67" spans="1:13" x14ac:dyDescent="0.25">
      <c r="B67" s="11">
        <f>SUM(B42:B65)</f>
        <v>0.21936000000000003</v>
      </c>
      <c r="C67" s="143">
        <f>SUM(C42:C65)</f>
        <v>0.21936000000000003</v>
      </c>
      <c r="D67" s="143">
        <f>SUM(D42:D65)</f>
        <v>0.21936000000000003</v>
      </c>
      <c r="E67" s="143">
        <f>SUM(E42:E65)</f>
        <v>0.21936000000000003</v>
      </c>
      <c r="F67" s="143">
        <f>SUM(F42:F65)</f>
        <v>0.21936000000000003</v>
      </c>
      <c r="G67" s="143">
        <f>SUM(G42:G65)</f>
        <v>0.21936000000000003</v>
      </c>
      <c r="H67" s="143">
        <f>SUM(H42:H65)</f>
        <v>0.21936000000000003</v>
      </c>
      <c r="I67" s="143">
        <f>SUM(I42:I65)</f>
        <v>0.21936000000000003</v>
      </c>
      <c r="J67" s="143">
        <f>SUM(J42:J65)</f>
        <v>0.21936000000000003</v>
      </c>
      <c r="K67" s="143">
        <f>SUM(K42:K65)</f>
        <v>0.21936000000000003</v>
      </c>
      <c r="L67" s="143">
        <f>SUM(L42:L65)</f>
        <v>0.21936000000000003</v>
      </c>
      <c r="M67" s="143">
        <f>SUM(M42:M65)</f>
        <v>0.21936000000000003</v>
      </c>
    </row>
    <row r="71" spans="1:13" x14ac:dyDescent="0.25">
      <c r="A71" s="133" t="s">
        <v>212</v>
      </c>
    </row>
    <row r="74" spans="1:13" x14ac:dyDescent="0.25">
      <c r="A74" s="137"/>
      <c r="B74" s="134" t="s">
        <v>189</v>
      </c>
      <c r="C74" s="135" t="s">
        <v>190</v>
      </c>
      <c r="D74" s="134" t="s">
        <v>191</v>
      </c>
      <c r="E74" s="135" t="s">
        <v>192</v>
      </c>
      <c r="F74" s="134" t="s">
        <v>193</v>
      </c>
      <c r="G74" s="135" t="s">
        <v>194</v>
      </c>
      <c r="H74" s="134" t="s">
        <v>195</v>
      </c>
      <c r="I74" s="135" t="s">
        <v>196</v>
      </c>
      <c r="J74" s="134" t="s">
        <v>197</v>
      </c>
      <c r="K74" s="135" t="s">
        <v>198</v>
      </c>
      <c r="L74" s="134" t="s">
        <v>199</v>
      </c>
      <c r="M74" s="136" t="s">
        <v>200</v>
      </c>
    </row>
    <row r="75" spans="1:13" x14ac:dyDescent="0.25">
      <c r="A75" s="137"/>
      <c r="B75" s="138">
        <f>+B39</f>
        <v>45658</v>
      </c>
      <c r="C75" s="138">
        <f>+C39</f>
        <v>45689</v>
      </c>
      <c r="D75" s="138">
        <f>+D39</f>
        <v>45717</v>
      </c>
      <c r="E75" s="138">
        <f>+E39</f>
        <v>45748</v>
      </c>
      <c r="F75" s="138">
        <f>+F39</f>
        <v>45778</v>
      </c>
      <c r="G75" s="138">
        <f>+G39</f>
        <v>45809</v>
      </c>
      <c r="H75" s="138">
        <f>+H39</f>
        <v>45839</v>
      </c>
      <c r="I75" s="138">
        <f>+I39</f>
        <v>45870</v>
      </c>
      <c r="J75" s="138">
        <f>+J39</f>
        <v>45901</v>
      </c>
      <c r="K75" s="138">
        <f>+K39</f>
        <v>45931</v>
      </c>
      <c r="L75" s="138">
        <f>+L39</f>
        <v>45962</v>
      </c>
      <c r="M75" s="138">
        <f>+M39</f>
        <v>45992</v>
      </c>
    </row>
    <row r="76" spans="1:13" ht="30" x14ac:dyDescent="0.25">
      <c r="B76" s="139" t="s">
        <v>110</v>
      </c>
      <c r="C76" s="139" t="s">
        <v>110</v>
      </c>
      <c r="D76" s="139" t="s">
        <v>110</v>
      </c>
      <c r="E76" s="139" t="s">
        <v>110</v>
      </c>
      <c r="F76" s="139" t="s">
        <v>110</v>
      </c>
      <c r="G76" s="139" t="s">
        <v>110</v>
      </c>
      <c r="H76" s="139" t="s">
        <v>110</v>
      </c>
      <c r="I76" s="139" t="s">
        <v>110</v>
      </c>
      <c r="J76" s="139" t="s">
        <v>110</v>
      </c>
      <c r="K76" s="139" t="s">
        <v>110</v>
      </c>
      <c r="L76" s="139" t="s">
        <v>110</v>
      </c>
      <c r="M76" s="139" t="s">
        <v>110</v>
      </c>
    </row>
    <row r="77" spans="1:13" x14ac:dyDescent="0.25">
      <c r="B77" s="9" t="s">
        <v>213</v>
      </c>
      <c r="C77" s="9" t="s">
        <v>213</v>
      </c>
      <c r="D77" s="9" t="s">
        <v>213</v>
      </c>
      <c r="E77" s="9" t="s">
        <v>213</v>
      </c>
      <c r="F77" s="9" t="s">
        <v>213</v>
      </c>
      <c r="G77" s="9" t="s">
        <v>213</v>
      </c>
      <c r="H77" s="9" t="s">
        <v>213</v>
      </c>
      <c r="I77" s="9" t="s">
        <v>213</v>
      </c>
      <c r="J77" s="9" t="s">
        <v>213</v>
      </c>
      <c r="K77" s="9" t="s">
        <v>213</v>
      </c>
      <c r="L77" s="9" t="s">
        <v>213</v>
      </c>
      <c r="M77" s="9" t="s">
        <v>213</v>
      </c>
    </row>
    <row r="78" spans="1:13" x14ac:dyDescent="0.25">
      <c r="A78" s="4" t="str">
        <f>A9</f>
        <v>Santé :</v>
      </c>
      <c r="B78" s="149"/>
      <c r="C78" s="149"/>
      <c r="D78" s="149"/>
      <c r="E78" s="149"/>
      <c r="F78" s="149"/>
      <c r="G78" s="149"/>
      <c r="H78" s="149"/>
      <c r="I78" s="149"/>
      <c r="J78" s="149"/>
      <c r="K78" s="149"/>
      <c r="L78" s="149"/>
      <c r="M78" s="149"/>
    </row>
    <row r="79" spans="1:13" x14ac:dyDescent="0.25">
      <c r="A79" s="5" t="str">
        <f>A10</f>
        <v>Séc. Soc. Maladie invalidité</v>
      </c>
      <c r="B79" s="194">
        <v>1</v>
      </c>
      <c r="C79" s="194">
        <f>+B79</f>
        <v>1</v>
      </c>
      <c r="D79" s="194">
        <f t="shared" ref="D79:M80" si="37">+C79</f>
        <v>1</v>
      </c>
      <c r="E79" s="194">
        <f t="shared" si="37"/>
        <v>1</v>
      </c>
      <c r="F79" s="194">
        <f t="shared" si="37"/>
        <v>1</v>
      </c>
      <c r="G79" s="194">
        <f t="shared" si="37"/>
        <v>1</v>
      </c>
      <c r="H79" s="194">
        <f t="shared" si="37"/>
        <v>1</v>
      </c>
      <c r="I79" s="194">
        <f t="shared" si="37"/>
        <v>1</v>
      </c>
      <c r="J79" s="194">
        <f t="shared" si="37"/>
        <v>1</v>
      </c>
      <c r="K79" s="194">
        <f t="shared" si="37"/>
        <v>1</v>
      </c>
      <c r="L79" s="194">
        <f t="shared" si="37"/>
        <v>1</v>
      </c>
      <c r="M79" s="194">
        <f t="shared" si="37"/>
        <v>1</v>
      </c>
    </row>
    <row r="80" spans="1:13" x14ac:dyDescent="0.25">
      <c r="A80" s="5" t="str">
        <f>A11</f>
        <v>Prévoyance T1</v>
      </c>
      <c r="B80" s="194">
        <v>1</v>
      </c>
      <c r="C80" s="194">
        <f>+B80</f>
        <v>1</v>
      </c>
      <c r="D80" s="194">
        <f t="shared" si="37"/>
        <v>1</v>
      </c>
      <c r="E80" s="194">
        <f t="shared" si="37"/>
        <v>1</v>
      </c>
      <c r="F80" s="194">
        <f t="shared" si="37"/>
        <v>1</v>
      </c>
      <c r="G80" s="194">
        <f t="shared" si="37"/>
        <v>1</v>
      </c>
      <c r="H80" s="194">
        <f t="shared" si="37"/>
        <v>1</v>
      </c>
      <c r="I80" s="194">
        <f t="shared" si="37"/>
        <v>1</v>
      </c>
      <c r="J80" s="194">
        <f t="shared" si="37"/>
        <v>1</v>
      </c>
      <c r="K80" s="194">
        <f t="shared" si="37"/>
        <v>1</v>
      </c>
      <c r="L80" s="194">
        <f t="shared" si="37"/>
        <v>1</v>
      </c>
      <c r="M80" s="194">
        <f t="shared" si="37"/>
        <v>1</v>
      </c>
    </row>
    <row r="81" spans="1:13" x14ac:dyDescent="0.25">
      <c r="A81" s="5" t="str">
        <f>A12</f>
        <v>Prévoyance T2</v>
      </c>
      <c r="B81" s="150"/>
      <c r="C81" s="150"/>
      <c r="D81" s="150"/>
      <c r="E81" s="150"/>
      <c r="F81" s="150"/>
      <c r="G81" s="150"/>
      <c r="H81" s="150"/>
      <c r="I81" s="150"/>
      <c r="J81" s="150"/>
      <c r="K81" s="150"/>
      <c r="L81" s="150"/>
      <c r="M81" s="150"/>
    </row>
    <row r="82" spans="1:13" x14ac:dyDescent="0.25">
      <c r="A82" s="6" t="str">
        <f>A13</f>
        <v>Accident du travail :</v>
      </c>
      <c r="B82" s="150"/>
      <c r="C82" s="150"/>
      <c r="D82" s="150"/>
      <c r="E82" s="150"/>
      <c r="F82" s="150"/>
      <c r="G82" s="150"/>
      <c r="H82" s="150"/>
      <c r="I82" s="150"/>
      <c r="J82" s="150"/>
      <c r="K82" s="150"/>
      <c r="L82" s="150"/>
      <c r="M82" s="150"/>
    </row>
    <row r="83" spans="1:13" x14ac:dyDescent="0.25">
      <c r="A83" s="6" t="str">
        <f>A14</f>
        <v>Retraite :</v>
      </c>
      <c r="B83" s="150"/>
      <c r="C83" s="150"/>
      <c r="D83" s="150"/>
      <c r="E83" s="150"/>
      <c r="F83" s="150"/>
      <c r="G83" s="150"/>
      <c r="H83" s="150"/>
      <c r="I83" s="150"/>
      <c r="J83" s="150"/>
      <c r="K83" s="150"/>
      <c r="L83" s="150"/>
      <c r="M83" s="150"/>
    </row>
    <row r="84" spans="1:13" x14ac:dyDescent="0.25">
      <c r="A84" s="5" t="str">
        <f>A15</f>
        <v>Retraite SS T1</v>
      </c>
      <c r="B84" s="194">
        <v>1</v>
      </c>
      <c r="C84" s="194">
        <f t="shared" ref="C84:M92" si="38">+B84</f>
        <v>1</v>
      </c>
      <c r="D84" s="194">
        <f t="shared" si="38"/>
        <v>1</v>
      </c>
      <c r="E84" s="194">
        <f t="shared" si="38"/>
        <v>1</v>
      </c>
      <c r="F84" s="194">
        <f t="shared" si="38"/>
        <v>1</v>
      </c>
      <c r="G84" s="194">
        <f t="shared" si="38"/>
        <v>1</v>
      </c>
      <c r="H84" s="194">
        <f t="shared" si="38"/>
        <v>1</v>
      </c>
      <c r="I84" s="194">
        <f t="shared" si="38"/>
        <v>1</v>
      </c>
      <c r="J84" s="194">
        <f t="shared" si="38"/>
        <v>1</v>
      </c>
      <c r="K84" s="194">
        <f t="shared" si="38"/>
        <v>1</v>
      </c>
      <c r="L84" s="194">
        <f t="shared" si="38"/>
        <v>1</v>
      </c>
      <c r="M84" s="194">
        <f t="shared" si="38"/>
        <v>1</v>
      </c>
    </row>
    <row r="85" spans="1:13" x14ac:dyDescent="0.25">
      <c r="A85" s="5" t="str">
        <f>A16</f>
        <v>Retraite SS Totalité</v>
      </c>
      <c r="B85" s="194">
        <v>1</v>
      </c>
      <c r="C85" s="194">
        <f t="shared" si="38"/>
        <v>1</v>
      </c>
      <c r="D85" s="194">
        <f t="shared" si="38"/>
        <v>1</v>
      </c>
      <c r="E85" s="194">
        <f t="shared" si="38"/>
        <v>1</v>
      </c>
      <c r="F85" s="194">
        <f t="shared" si="38"/>
        <v>1</v>
      </c>
      <c r="G85" s="194">
        <f t="shared" si="38"/>
        <v>1</v>
      </c>
      <c r="H85" s="194">
        <f t="shared" si="38"/>
        <v>1</v>
      </c>
      <c r="I85" s="194">
        <f t="shared" si="38"/>
        <v>1</v>
      </c>
      <c r="J85" s="194">
        <f t="shared" si="38"/>
        <v>1</v>
      </c>
      <c r="K85" s="194">
        <f t="shared" si="38"/>
        <v>1</v>
      </c>
      <c r="L85" s="194">
        <f t="shared" si="38"/>
        <v>1</v>
      </c>
      <c r="M85" s="194">
        <f t="shared" si="38"/>
        <v>1</v>
      </c>
    </row>
    <row r="86" spans="1:13" x14ac:dyDescent="0.25">
      <c r="A86" s="5" t="str">
        <f>A17</f>
        <v>Retraite IRCEM T1</v>
      </c>
      <c r="B86" s="194">
        <v>1</v>
      </c>
      <c r="C86" s="194">
        <f t="shared" si="38"/>
        <v>1</v>
      </c>
      <c r="D86" s="194">
        <f t="shared" si="38"/>
        <v>1</v>
      </c>
      <c r="E86" s="194">
        <f t="shared" si="38"/>
        <v>1</v>
      </c>
      <c r="F86" s="194">
        <f t="shared" si="38"/>
        <v>1</v>
      </c>
      <c r="G86" s="194">
        <f t="shared" si="38"/>
        <v>1</v>
      </c>
      <c r="H86" s="194">
        <f t="shared" si="38"/>
        <v>1</v>
      </c>
      <c r="I86" s="194">
        <f t="shared" si="38"/>
        <v>1</v>
      </c>
      <c r="J86" s="194">
        <f t="shared" si="38"/>
        <v>1</v>
      </c>
      <c r="K86" s="194">
        <f t="shared" si="38"/>
        <v>1</v>
      </c>
      <c r="L86" s="194">
        <f t="shared" si="38"/>
        <v>1</v>
      </c>
      <c r="M86" s="194">
        <f t="shared" si="38"/>
        <v>1</v>
      </c>
    </row>
    <row r="87" spans="1:13" x14ac:dyDescent="0.25">
      <c r="A87" s="5" t="str">
        <f>A18</f>
        <v>CEG T1</v>
      </c>
      <c r="B87" s="194">
        <v>1</v>
      </c>
      <c r="C87" s="194">
        <f t="shared" si="38"/>
        <v>1</v>
      </c>
      <c r="D87" s="194">
        <f t="shared" si="38"/>
        <v>1</v>
      </c>
      <c r="E87" s="194">
        <f t="shared" si="38"/>
        <v>1</v>
      </c>
      <c r="F87" s="194">
        <f t="shared" si="38"/>
        <v>1</v>
      </c>
      <c r="G87" s="194">
        <f t="shared" si="38"/>
        <v>1</v>
      </c>
      <c r="H87" s="194">
        <f t="shared" si="38"/>
        <v>1</v>
      </c>
      <c r="I87" s="194">
        <f t="shared" si="38"/>
        <v>1</v>
      </c>
      <c r="J87" s="194">
        <f t="shared" si="38"/>
        <v>1</v>
      </c>
      <c r="K87" s="194">
        <f t="shared" si="38"/>
        <v>1</v>
      </c>
      <c r="L87" s="194">
        <f t="shared" si="38"/>
        <v>1</v>
      </c>
      <c r="M87" s="194">
        <f t="shared" si="38"/>
        <v>1</v>
      </c>
    </row>
    <row r="88" spans="1:13" x14ac:dyDescent="0.25">
      <c r="A88" s="5" t="str">
        <f>A19</f>
        <v>Retraite IRCEM T1 - CEG T1</v>
      </c>
      <c r="B88" s="150">
        <f>+AVERAGE(B86:B87)</f>
        <v>1</v>
      </c>
      <c r="C88" s="150">
        <f t="shared" si="38"/>
        <v>1</v>
      </c>
      <c r="D88" s="150">
        <f t="shared" si="38"/>
        <v>1</v>
      </c>
      <c r="E88" s="150">
        <f t="shared" si="38"/>
        <v>1</v>
      </c>
      <c r="F88" s="150">
        <f t="shared" si="38"/>
        <v>1</v>
      </c>
      <c r="G88" s="150">
        <f t="shared" si="38"/>
        <v>1</v>
      </c>
      <c r="H88" s="150">
        <f t="shared" si="38"/>
        <v>1</v>
      </c>
      <c r="I88" s="150">
        <f t="shared" si="38"/>
        <v>1</v>
      </c>
      <c r="J88" s="150">
        <f t="shared" si="38"/>
        <v>1</v>
      </c>
      <c r="K88" s="150">
        <f t="shared" si="38"/>
        <v>1</v>
      </c>
      <c r="L88" s="150">
        <f t="shared" si="38"/>
        <v>1</v>
      </c>
      <c r="M88" s="150">
        <f t="shared" si="38"/>
        <v>1</v>
      </c>
    </row>
    <row r="89" spans="1:13" x14ac:dyDescent="0.25">
      <c r="A89" s="5" t="str">
        <f>A20</f>
        <v>CET si plafond SS atteint</v>
      </c>
      <c r="B89" s="194">
        <v>1</v>
      </c>
      <c r="C89" s="194">
        <f t="shared" si="38"/>
        <v>1</v>
      </c>
      <c r="D89" s="194">
        <f t="shared" si="38"/>
        <v>1</v>
      </c>
      <c r="E89" s="194">
        <f t="shared" si="38"/>
        <v>1</v>
      </c>
      <c r="F89" s="194">
        <f t="shared" si="38"/>
        <v>1</v>
      </c>
      <c r="G89" s="194">
        <f t="shared" si="38"/>
        <v>1</v>
      </c>
      <c r="H89" s="194">
        <f t="shared" si="38"/>
        <v>1</v>
      </c>
      <c r="I89" s="194">
        <f t="shared" si="38"/>
        <v>1</v>
      </c>
      <c r="J89" s="194">
        <f t="shared" si="38"/>
        <v>1</v>
      </c>
      <c r="K89" s="194">
        <f t="shared" si="38"/>
        <v>1</v>
      </c>
      <c r="L89" s="194">
        <f t="shared" si="38"/>
        <v>1</v>
      </c>
      <c r="M89" s="194">
        <f t="shared" si="38"/>
        <v>1</v>
      </c>
    </row>
    <row r="90" spans="1:13" x14ac:dyDescent="0.25">
      <c r="A90" s="5" t="str">
        <f>A21</f>
        <v>Retraite IRCEM T2</v>
      </c>
      <c r="B90" s="194">
        <v>1</v>
      </c>
      <c r="C90" s="194">
        <f t="shared" si="38"/>
        <v>1</v>
      </c>
      <c r="D90" s="194">
        <f t="shared" si="38"/>
        <v>1</v>
      </c>
      <c r="E90" s="194">
        <f t="shared" si="38"/>
        <v>1</v>
      </c>
      <c r="F90" s="194">
        <f t="shared" si="38"/>
        <v>1</v>
      </c>
      <c r="G90" s="194">
        <f t="shared" si="38"/>
        <v>1</v>
      </c>
      <c r="H90" s="194">
        <f t="shared" si="38"/>
        <v>1</v>
      </c>
      <c r="I90" s="194">
        <f t="shared" si="38"/>
        <v>1</v>
      </c>
      <c r="J90" s="194">
        <f t="shared" si="38"/>
        <v>1</v>
      </c>
      <c r="K90" s="194">
        <f t="shared" si="38"/>
        <v>1</v>
      </c>
      <c r="L90" s="194">
        <f t="shared" si="38"/>
        <v>1</v>
      </c>
      <c r="M90" s="194">
        <f t="shared" si="38"/>
        <v>1</v>
      </c>
    </row>
    <row r="91" spans="1:13" x14ac:dyDescent="0.25">
      <c r="A91" s="5" t="str">
        <f>A22</f>
        <v>CEG T2</v>
      </c>
      <c r="B91" s="194">
        <v>1</v>
      </c>
      <c r="C91" s="194">
        <f t="shared" si="38"/>
        <v>1</v>
      </c>
      <c r="D91" s="194">
        <f t="shared" si="38"/>
        <v>1</v>
      </c>
      <c r="E91" s="194">
        <f t="shared" si="38"/>
        <v>1</v>
      </c>
      <c r="F91" s="194">
        <f t="shared" si="38"/>
        <v>1</v>
      </c>
      <c r="G91" s="194">
        <f t="shared" si="38"/>
        <v>1</v>
      </c>
      <c r="H91" s="194">
        <f t="shared" si="38"/>
        <v>1</v>
      </c>
      <c r="I91" s="194">
        <f t="shared" si="38"/>
        <v>1</v>
      </c>
      <c r="J91" s="194">
        <f t="shared" si="38"/>
        <v>1</v>
      </c>
      <c r="K91" s="194">
        <f t="shared" si="38"/>
        <v>1</v>
      </c>
      <c r="L91" s="194">
        <f t="shared" si="38"/>
        <v>1</v>
      </c>
      <c r="M91" s="194">
        <f t="shared" si="38"/>
        <v>1</v>
      </c>
    </row>
    <row r="92" spans="1:13" x14ac:dyDescent="0.25">
      <c r="A92" s="5" t="str">
        <f>A23</f>
        <v>Retraite IRCEM T2 - CEG T2</v>
      </c>
      <c r="B92" s="150">
        <f>+AVERAGE(B90:B91)</f>
        <v>1</v>
      </c>
      <c r="C92" s="150">
        <f t="shared" si="38"/>
        <v>1</v>
      </c>
      <c r="D92" s="150">
        <f t="shared" si="38"/>
        <v>1</v>
      </c>
      <c r="E92" s="150">
        <f t="shared" si="38"/>
        <v>1</v>
      </c>
      <c r="F92" s="150">
        <f t="shared" si="38"/>
        <v>1</v>
      </c>
      <c r="G92" s="150">
        <f t="shared" si="38"/>
        <v>1</v>
      </c>
      <c r="H92" s="150">
        <f t="shared" si="38"/>
        <v>1</v>
      </c>
      <c r="I92" s="150">
        <f t="shared" si="38"/>
        <v>1</v>
      </c>
      <c r="J92" s="150">
        <f t="shared" si="38"/>
        <v>1</v>
      </c>
      <c r="K92" s="150">
        <f t="shared" si="38"/>
        <v>1</v>
      </c>
      <c r="L92" s="150">
        <f t="shared" si="38"/>
        <v>1</v>
      </c>
      <c r="M92" s="150">
        <f t="shared" si="38"/>
        <v>1</v>
      </c>
    </row>
    <row r="93" spans="1:13" x14ac:dyDescent="0.25">
      <c r="A93" s="6" t="str">
        <f>A24</f>
        <v>Famille :</v>
      </c>
      <c r="B93" s="150"/>
      <c r="C93" s="150"/>
      <c r="D93" s="150"/>
      <c r="E93" s="150"/>
      <c r="F93" s="150"/>
      <c r="G93" s="150"/>
      <c r="H93" s="150"/>
      <c r="I93" s="150"/>
      <c r="J93" s="150"/>
      <c r="K93" s="150"/>
      <c r="L93" s="150"/>
      <c r="M93" s="150"/>
    </row>
    <row r="94" spans="1:13" x14ac:dyDescent="0.25">
      <c r="A94" s="5" t="e">
        <f>#REF!</f>
        <v>#REF!</v>
      </c>
      <c r="B94" s="150"/>
      <c r="C94" s="150"/>
      <c r="D94" s="150"/>
      <c r="E94" s="150"/>
      <c r="F94" s="150"/>
      <c r="G94" s="150"/>
      <c r="H94" s="150"/>
      <c r="I94" s="150"/>
      <c r="J94" s="150"/>
      <c r="K94" s="150"/>
      <c r="L94" s="150"/>
      <c r="M94" s="150"/>
    </row>
    <row r="95" spans="1:13" x14ac:dyDescent="0.25">
      <c r="A95" s="6" t="str">
        <f>A25</f>
        <v>Assurance Chômage :</v>
      </c>
      <c r="B95" s="150"/>
      <c r="C95" s="150"/>
      <c r="D95" s="150"/>
      <c r="E95" s="150"/>
      <c r="F95" s="150"/>
      <c r="G95" s="150"/>
      <c r="H95" s="150"/>
      <c r="I95" s="150"/>
      <c r="J95" s="150"/>
      <c r="K95" s="150"/>
      <c r="L95" s="150"/>
      <c r="M95" s="150"/>
    </row>
    <row r="96" spans="1:13" x14ac:dyDescent="0.25">
      <c r="A96" s="6" t="str">
        <f>A26</f>
        <v>Contribution Santé au Travail</v>
      </c>
      <c r="B96" s="150"/>
      <c r="C96" s="150"/>
      <c r="D96" s="150"/>
      <c r="E96" s="150"/>
      <c r="F96" s="150"/>
      <c r="G96" s="150"/>
      <c r="H96" s="150"/>
      <c r="I96" s="150"/>
      <c r="J96" s="150"/>
      <c r="K96" s="150"/>
      <c r="L96" s="150"/>
      <c r="M96" s="150"/>
    </row>
    <row r="97" spans="1:13" x14ac:dyDescent="0.25">
      <c r="A97" s="7" t="str">
        <f>A27</f>
        <v>Autres cotisations patronales</v>
      </c>
      <c r="B97" s="150"/>
      <c r="C97" s="150"/>
      <c r="D97" s="150"/>
      <c r="E97" s="150"/>
      <c r="F97" s="150"/>
      <c r="G97" s="150"/>
      <c r="H97" s="150"/>
      <c r="I97" s="150"/>
      <c r="J97" s="150"/>
      <c r="K97" s="150"/>
      <c r="L97" s="150"/>
      <c r="M97" s="150"/>
    </row>
    <row r="98" spans="1:13" x14ac:dyDescent="0.25">
      <c r="A98" s="7" t="str">
        <f>A28</f>
        <v>Autres cotisations patronales T1</v>
      </c>
      <c r="B98" s="150"/>
      <c r="C98" s="150"/>
      <c r="D98" s="150"/>
      <c r="E98" s="150"/>
      <c r="F98" s="150"/>
      <c r="G98" s="150"/>
      <c r="H98" s="150"/>
      <c r="I98" s="150"/>
      <c r="J98" s="150"/>
      <c r="K98" s="150"/>
      <c r="L98" s="150"/>
      <c r="M98" s="150"/>
    </row>
    <row r="99" spans="1:13" x14ac:dyDescent="0.25">
      <c r="A99" s="1" t="str">
        <f>A29</f>
        <v>CSG déductible de l'IR</v>
      </c>
      <c r="B99" s="194">
        <v>0</v>
      </c>
      <c r="C99" s="194">
        <f>+B99</f>
        <v>0</v>
      </c>
      <c r="D99" s="194">
        <f t="shared" ref="D99:M101" si="39">+C99</f>
        <v>0</v>
      </c>
      <c r="E99" s="194">
        <f t="shared" si="39"/>
        <v>0</v>
      </c>
      <c r="F99" s="194">
        <f t="shared" si="39"/>
        <v>0</v>
      </c>
      <c r="G99" s="194">
        <f t="shared" si="39"/>
        <v>0</v>
      </c>
      <c r="H99" s="194">
        <f t="shared" si="39"/>
        <v>0</v>
      </c>
      <c r="I99" s="194">
        <f t="shared" si="39"/>
        <v>0</v>
      </c>
      <c r="J99" s="194">
        <f t="shared" si="39"/>
        <v>0</v>
      </c>
      <c r="K99" s="194">
        <f t="shared" si="39"/>
        <v>0</v>
      </c>
      <c r="L99" s="194">
        <f t="shared" si="39"/>
        <v>0</v>
      </c>
      <c r="M99" s="194">
        <f t="shared" si="39"/>
        <v>0</v>
      </c>
    </row>
    <row r="100" spans="1:13" x14ac:dyDescent="0.25">
      <c r="A100" s="1" t="str">
        <f>A30</f>
        <v>CSG/RDS non déductible de l'IR</v>
      </c>
      <c r="B100" s="194">
        <v>0</v>
      </c>
      <c r="C100" s="194">
        <f>+B100</f>
        <v>0</v>
      </c>
      <c r="D100" s="194">
        <f t="shared" si="39"/>
        <v>0</v>
      </c>
      <c r="E100" s="194">
        <f t="shared" si="39"/>
        <v>0</v>
      </c>
      <c r="F100" s="194">
        <f t="shared" si="39"/>
        <v>0</v>
      </c>
      <c r="G100" s="194">
        <f t="shared" si="39"/>
        <v>0</v>
      </c>
      <c r="H100" s="194">
        <f t="shared" si="39"/>
        <v>0</v>
      </c>
      <c r="I100" s="194">
        <f t="shared" si="39"/>
        <v>0</v>
      </c>
      <c r="J100" s="194">
        <f t="shared" si="39"/>
        <v>0</v>
      </c>
      <c r="K100" s="194">
        <f t="shared" si="39"/>
        <v>0</v>
      </c>
      <c r="L100" s="194">
        <f t="shared" si="39"/>
        <v>0</v>
      </c>
      <c r="M100" s="194">
        <f t="shared" si="39"/>
        <v>0</v>
      </c>
    </row>
    <row r="101" spans="1:13" x14ac:dyDescent="0.25">
      <c r="A101" s="1" t="str">
        <f>A31</f>
        <v>CSG/RDS non déd sur rev non imp</v>
      </c>
      <c r="B101" s="194">
        <v>0</v>
      </c>
      <c r="C101" s="194">
        <f>+B101</f>
        <v>0</v>
      </c>
      <c r="D101" s="194">
        <f t="shared" si="39"/>
        <v>0</v>
      </c>
      <c r="E101" s="194">
        <f t="shared" si="39"/>
        <v>0</v>
      </c>
      <c r="F101" s="194">
        <f t="shared" si="39"/>
        <v>0</v>
      </c>
      <c r="G101" s="194">
        <f t="shared" si="39"/>
        <v>0</v>
      </c>
      <c r="H101" s="194">
        <f t="shared" si="39"/>
        <v>0</v>
      </c>
      <c r="I101" s="194">
        <f t="shared" si="39"/>
        <v>0</v>
      </c>
      <c r="J101" s="194">
        <f t="shared" si="39"/>
        <v>0</v>
      </c>
      <c r="K101" s="194">
        <f t="shared" si="39"/>
        <v>0</v>
      </c>
      <c r="L101" s="194">
        <f t="shared" si="39"/>
        <v>0</v>
      </c>
      <c r="M101" s="194">
        <f t="shared" si="39"/>
        <v>0</v>
      </c>
    </row>
    <row r="102" spans="1:13" x14ac:dyDescent="0.25">
      <c r="A102" s="8" t="str">
        <f>A32</f>
        <v>Réduction cot. HC et HS</v>
      </c>
      <c r="B102" s="151"/>
      <c r="C102" s="151"/>
      <c r="D102" s="151"/>
      <c r="E102" s="151"/>
      <c r="F102" s="151"/>
      <c r="G102" s="151"/>
      <c r="H102" s="151"/>
      <c r="I102" s="151"/>
      <c r="J102" s="151"/>
      <c r="K102" s="151"/>
      <c r="L102" s="151"/>
      <c r="M102" s="151"/>
    </row>
    <row r="107" spans="1:13" x14ac:dyDescent="0.25">
      <c r="A107" s="133" t="s">
        <v>214</v>
      </c>
    </row>
    <row r="109" spans="1:13" x14ac:dyDescent="0.25">
      <c r="B109" s="134" t="s">
        <v>189</v>
      </c>
      <c r="C109" s="135" t="s">
        <v>190</v>
      </c>
      <c r="D109" s="134" t="s">
        <v>191</v>
      </c>
      <c r="E109" s="135" t="s">
        <v>192</v>
      </c>
      <c r="F109" s="134" t="s">
        <v>193</v>
      </c>
      <c r="G109" s="135" t="s">
        <v>194</v>
      </c>
      <c r="H109" s="134" t="s">
        <v>195</v>
      </c>
      <c r="I109" s="135" t="s">
        <v>196</v>
      </c>
      <c r="J109" s="134" t="s">
        <v>197</v>
      </c>
      <c r="K109" s="135" t="s">
        <v>198</v>
      </c>
      <c r="L109" s="134" t="s">
        <v>199</v>
      </c>
      <c r="M109" s="136" t="s">
        <v>200</v>
      </c>
    </row>
    <row r="110" spans="1:13" x14ac:dyDescent="0.25">
      <c r="A110" s="137"/>
      <c r="B110" s="138">
        <f>+B75</f>
        <v>45658</v>
      </c>
      <c r="C110" s="138">
        <f t="shared" ref="C110:M110" si="40">+C75</f>
        <v>45689</v>
      </c>
      <c r="D110" s="138">
        <f t="shared" si="40"/>
        <v>45717</v>
      </c>
      <c r="E110" s="138">
        <f t="shared" si="40"/>
        <v>45748</v>
      </c>
      <c r="F110" s="138">
        <f t="shared" si="40"/>
        <v>45778</v>
      </c>
      <c r="G110" s="138">
        <f t="shared" si="40"/>
        <v>45809</v>
      </c>
      <c r="H110" s="138">
        <f t="shared" si="40"/>
        <v>45839</v>
      </c>
      <c r="I110" s="138">
        <f t="shared" si="40"/>
        <v>45870</v>
      </c>
      <c r="J110" s="138">
        <f t="shared" si="40"/>
        <v>45901</v>
      </c>
      <c r="K110" s="138">
        <f t="shared" si="40"/>
        <v>45931</v>
      </c>
      <c r="L110" s="138">
        <f t="shared" si="40"/>
        <v>45962</v>
      </c>
      <c r="M110" s="138">
        <f t="shared" si="40"/>
        <v>45992</v>
      </c>
    </row>
    <row r="111" spans="1:13" ht="30" x14ac:dyDescent="0.25">
      <c r="B111" s="145" t="s">
        <v>111</v>
      </c>
      <c r="C111" s="145" t="s">
        <v>111</v>
      </c>
      <c r="D111" s="145" t="s">
        <v>111</v>
      </c>
      <c r="E111" s="145" t="s">
        <v>111</v>
      </c>
      <c r="F111" s="145" t="s">
        <v>111</v>
      </c>
      <c r="G111" s="145" t="s">
        <v>111</v>
      </c>
      <c r="H111" s="145" t="s">
        <v>111</v>
      </c>
      <c r="I111" s="145" t="s">
        <v>111</v>
      </c>
      <c r="J111" s="145" t="s">
        <v>111</v>
      </c>
      <c r="K111" s="145" t="s">
        <v>111</v>
      </c>
      <c r="L111" s="145" t="s">
        <v>111</v>
      </c>
      <c r="M111" s="145" t="s">
        <v>111</v>
      </c>
    </row>
    <row r="112" spans="1:13" x14ac:dyDescent="0.25">
      <c r="B112" s="9" t="s">
        <v>213</v>
      </c>
      <c r="C112" s="9" t="s">
        <v>213</v>
      </c>
      <c r="D112" s="9" t="s">
        <v>213</v>
      </c>
      <c r="E112" s="9" t="s">
        <v>213</v>
      </c>
      <c r="F112" s="9" t="s">
        <v>213</v>
      </c>
      <c r="G112" s="9" t="s">
        <v>213</v>
      </c>
      <c r="H112" s="9" t="s">
        <v>213</v>
      </c>
      <c r="I112" s="9" t="s">
        <v>213</v>
      </c>
      <c r="J112" s="9" t="s">
        <v>213</v>
      </c>
      <c r="K112" s="9" t="s">
        <v>213</v>
      </c>
      <c r="L112" s="9" t="s">
        <v>213</v>
      </c>
      <c r="M112" s="9" t="s">
        <v>213</v>
      </c>
    </row>
    <row r="113" spans="1:13" x14ac:dyDescent="0.25">
      <c r="A113" s="4" t="str">
        <f>A9</f>
        <v>Santé :</v>
      </c>
      <c r="B113" s="149"/>
      <c r="C113" s="149"/>
      <c r="D113" s="149"/>
      <c r="E113" s="149"/>
      <c r="F113" s="149"/>
      <c r="G113" s="149"/>
      <c r="H113" s="149"/>
      <c r="I113" s="149"/>
      <c r="J113" s="149"/>
      <c r="K113" s="149"/>
      <c r="L113" s="149"/>
      <c r="M113" s="149"/>
    </row>
    <row r="114" spans="1:13" x14ac:dyDescent="0.25">
      <c r="A114" s="5" t="str">
        <f>A10</f>
        <v>Séc. Soc. Maladie invalidité</v>
      </c>
      <c r="B114" s="194">
        <v>1</v>
      </c>
      <c r="C114" s="194">
        <f>B114</f>
        <v>1</v>
      </c>
      <c r="D114" s="194">
        <f t="shared" ref="D114:M117" si="41">C114</f>
        <v>1</v>
      </c>
      <c r="E114" s="194">
        <f t="shared" si="41"/>
        <v>1</v>
      </c>
      <c r="F114" s="194">
        <f t="shared" si="41"/>
        <v>1</v>
      </c>
      <c r="G114" s="194">
        <f t="shared" si="41"/>
        <v>1</v>
      </c>
      <c r="H114" s="194">
        <f t="shared" si="41"/>
        <v>1</v>
      </c>
      <c r="I114" s="194">
        <f t="shared" si="41"/>
        <v>1</v>
      </c>
      <c r="J114" s="194">
        <f t="shared" si="41"/>
        <v>1</v>
      </c>
      <c r="K114" s="194">
        <f t="shared" si="41"/>
        <v>1</v>
      </c>
      <c r="L114" s="194">
        <f t="shared" si="41"/>
        <v>1</v>
      </c>
      <c r="M114" s="194">
        <f t="shared" si="41"/>
        <v>1</v>
      </c>
    </row>
    <row r="115" spans="1:13" x14ac:dyDescent="0.25">
      <c r="A115" s="5" t="str">
        <f>A11</f>
        <v>Prévoyance T1</v>
      </c>
      <c r="B115" s="194">
        <v>1</v>
      </c>
      <c r="C115" s="194">
        <f>B115</f>
        <v>1</v>
      </c>
      <c r="D115" s="194">
        <f t="shared" si="41"/>
        <v>1</v>
      </c>
      <c r="E115" s="194">
        <f t="shared" si="41"/>
        <v>1</v>
      </c>
      <c r="F115" s="194">
        <f t="shared" si="41"/>
        <v>1</v>
      </c>
      <c r="G115" s="194">
        <f t="shared" si="41"/>
        <v>1</v>
      </c>
      <c r="H115" s="194">
        <f t="shared" si="41"/>
        <v>1</v>
      </c>
      <c r="I115" s="194">
        <f t="shared" si="41"/>
        <v>1</v>
      </c>
      <c r="J115" s="194">
        <f t="shared" si="41"/>
        <v>1</v>
      </c>
      <c r="K115" s="194">
        <f t="shared" si="41"/>
        <v>1</v>
      </c>
      <c r="L115" s="194">
        <f t="shared" si="41"/>
        <v>1</v>
      </c>
      <c r="M115" s="194">
        <f t="shared" si="41"/>
        <v>1</v>
      </c>
    </row>
    <row r="116" spans="1:13" x14ac:dyDescent="0.25">
      <c r="A116" s="5" t="str">
        <f>A12</f>
        <v>Prévoyance T2</v>
      </c>
      <c r="B116" s="194">
        <v>1</v>
      </c>
      <c r="C116" s="194">
        <f>B116</f>
        <v>1</v>
      </c>
      <c r="D116" s="194">
        <f t="shared" si="41"/>
        <v>1</v>
      </c>
      <c r="E116" s="194">
        <f t="shared" si="41"/>
        <v>1</v>
      </c>
      <c r="F116" s="194">
        <f t="shared" si="41"/>
        <v>1</v>
      </c>
      <c r="G116" s="194">
        <f t="shared" si="41"/>
        <v>1</v>
      </c>
      <c r="H116" s="194">
        <f t="shared" si="41"/>
        <v>1</v>
      </c>
      <c r="I116" s="194">
        <f t="shared" si="41"/>
        <v>1</v>
      </c>
      <c r="J116" s="194">
        <f t="shared" si="41"/>
        <v>1</v>
      </c>
      <c r="K116" s="194">
        <f t="shared" si="41"/>
        <v>1</v>
      </c>
      <c r="L116" s="194">
        <f t="shared" si="41"/>
        <v>1</v>
      </c>
      <c r="M116" s="194">
        <f t="shared" si="41"/>
        <v>1</v>
      </c>
    </row>
    <row r="117" spans="1:13" x14ac:dyDescent="0.25">
      <c r="A117" s="6" t="str">
        <f>A13</f>
        <v>Accident du travail :</v>
      </c>
      <c r="B117" s="194">
        <v>1</v>
      </c>
      <c r="C117" s="194">
        <f>B117</f>
        <v>1</v>
      </c>
      <c r="D117" s="194">
        <f t="shared" si="41"/>
        <v>1</v>
      </c>
      <c r="E117" s="194">
        <f t="shared" si="41"/>
        <v>1</v>
      </c>
      <c r="F117" s="194">
        <f t="shared" si="41"/>
        <v>1</v>
      </c>
      <c r="G117" s="194">
        <f t="shared" si="41"/>
        <v>1</v>
      </c>
      <c r="H117" s="194">
        <f t="shared" si="41"/>
        <v>1</v>
      </c>
      <c r="I117" s="194">
        <f t="shared" si="41"/>
        <v>1</v>
      </c>
      <c r="J117" s="194">
        <f t="shared" si="41"/>
        <v>1</v>
      </c>
      <c r="K117" s="194">
        <f t="shared" si="41"/>
        <v>1</v>
      </c>
      <c r="L117" s="194">
        <f t="shared" si="41"/>
        <v>1</v>
      </c>
      <c r="M117" s="194">
        <f t="shared" si="41"/>
        <v>1</v>
      </c>
    </row>
    <row r="118" spans="1:13" x14ac:dyDescent="0.25">
      <c r="A118" s="6" t="str">
        <f>A14</f>
        <v>Retraite :</v>
      </c>
      <c r="B118" s="150"/>
      <c r="C118" s="150"/>
      <c r="D118" s="150"/>
      <c r="E118" s="150"/>
      <c r="F118" s="150"/>
      <c r="G118" s="150"/>
      <c r="H118" s="150"/>
      <c r="I118" s="150"/>
      <c r="J118" s="150"/>
      <c r="K118" s="150"/>
      <c r="L118" s="150"/>
      <c r="M118" s="150"/>
    </row>
    <row r="119" spans="1:13" x14ac:dyDescent="0.25">
      <c r="A119" s="5" t="str">
        <f>A15</f>
        <v>Retraite SS T1</v>
      </c>
      <c r="B119" s="194">
        <v>1</v>
      </c>
      <c r="C119" s="194">
        <f t="shared" ref="C119:M127" si="42">B119</f>
        <v>1</v>
      </c>
      <c r="D119" s="194">
        <f t="shared" si="42"/>
        <v>1</v>
      </c>
      <c r="E119" s="194">
        <f t="shared" si="42"/>
        <v>1</v>
      </c>
      <c r="F119" s="194">
        <f t="shared" si="42"/>
        <v>1</v>
      </c>
      <c r="G119" s="194">
        <f t="shared" si="42"/>
        <v>1</v>
      </c>
      <c r="H119" s="194">
        <f t="shared" si="42"/>
        <v>1</v>
      </c>
      <c r="I119" s="194">
        <f t="shared" si="42"/>
        <v>1</v>
      </c>
      <c r="J119" s="194">
        <f t="shared" si="42"/>
        <v>1</v>
      </c>
      <c r="K119" s="194">
        <f t="shared" si="42"/>
        <v>1</v>
      </c>
      <c r="L119" s="194">
        <f t="shared" si="42"/>
        <v>1</v>
      </c>
      <c r="M119" s="194">
        <f t="shared" si="42"/>
        <v>1</v>
      </c>
    </row>
    <row r="120" spans="1:13" x14ac:dyDescent="0.25">
      <c r="A120" s="5" t="str">
        <f>A16</f>
        <v>Retraite SS Totalité</v>
      </c>
      <c r="B120" s="194">
        <v>1</v>
      </c>
      <c r="C120" s="194">
        <f t="shared" si="42"/>
        <v>1</v>
      </c>
      <c r="D120" s="194">
        <f t="shared" si="42"/>
        <v>1</v>
      </c>
      <c r="E120" s="194">
        <f t="shared" si="42"/>
        <v>1</v>
      </c>
      <c r="F120" s="194">
        <f t="shared" si="42"/>
        <v>1</v>
      </c>
      <c r="G120" s="194">
        <f t="shared" si="42"/>
        <v>1</v>
      </c>
      <c r="H120" s="194">
        <f t="shared" si="42"/>
        <v>1</v>
      </c>
      <c r="I120" s="194">
        <f t="shared" si="42"/>
        <v>1</v>
      </c>
      <c r="J120" s="194">
        <f t="shared" si="42"/>
        <v>1</v>
      </c>
      <c r="K120" s="194">
        <f t="shared" si="42"/>
        <v>1</v>
      </c>
      <c r="L120" s="194">
        <f t="shared" si="42"/>
        <v>1</v>
      </c>
      <c r="M120" s="194">
        <f t="shared" si="42"/>
        <v>1</v>
      </c>
    </row>
    <row r="121" spans="1:13" x14ac:dyDescent="0.25">
      <c r="A121" s="5" t="str">
        <f>A17</f>
        <v>Retraite IRCEM T1</v>
      </c>
      <c r="B121" s="194">
        <v>1</v>
      </c>
      <c r="C121" s="194">
        <f t="shared" si="42"/>
        <v>1</v>
      </c>
      <c r="D121" s="194">
        <f t="shared" si="42"/>
        <v>1</v>
      </c>
      <c r="E121" s="194">
        <f t="shared" si="42"/>
        <v>1</v>
      </c>
      <c r="F121" s="194">
        <f t="shared" si="42"/>
        <v>1</v>
      </c>
      <c r="G121" s="194">
        <f t="shared" si="42"/>
        <v>1</v>
      </c>
      <c r="H121" s="194">
        <f t="shared" si="42"/>
        <v>1</v>
      </c>
      <c r="I121" s="194">
        <f t="shared" si="42"/>
        <v>1</v>
      </c>
      <c r="J121" s="194">
        <f t="shared" si="42"/>
        <v>1</v>
      </c>
      <c r="K121" s="194">
        <f t="shared" si="42"/>
        <v>1</v>
      </c>
      <c r="L121" s="194">
        <f t="shared" si="42"/>
        <v>1</v>
      </c>
      <c r="M121" s="194">
        <f t="shared" si="42"/>
        <v>1</v>
      </c>
    </row>
    <row r="122" spans="1:13" x14ac:dyDescent="0.25">
      <c r="A122" s="5" t="str">
        <f>A18</f>
        <v>CEG T1</v>
      </c>
      <c r="B122" s="194">
        <v>1</v>
      </c>
      <c r="C122" s="194">
        <f t="shared" si="42"/>
        <v>1</v>
      </c>
      <c r="D122" s="194">
        <f t="shared" si="42"/>
        <v>1</v>
      </c>
      <c r="E122" s="194">
        <f t="shared" si="42"/>
        <v>1</v>
      </c>
      <c r="F122" s="194">
        <f t="shared" si="42"/>
        <v>1</v>
      </c>
      <c r="G122" s="194">
        <f t="shared" si="42"/>
        <v>1</v>
      </c>
      <c r="H122" s="194">
        <f t="shared" si="42"/>
        <v>1</v>
      </c>
      <c r="I122" s="194">
        <f t="shared" si="42"/>
        <v>1</v>
      </c>
      <c r="J122" s="194">
        <f t="shared" si="42"/>
        <v>1</v>
      </c>
      <c r="K122" s="194">
        <f t="shared" si="42"/>
        <v>1</v>
      </c>
      <c r="L122" s="194">
        <f t="shared" si="42"/>
        <v>1</v>
      </c>
      <c r="M122" s="194">
        <f t="shared" si="42"/>
        <v>1</v>
      </c>
    </row>
    <row r="123" spans="1:13" x14ac:dyDescent="0.25">
      <c r="A123" s="5" t="str">
        <f>A19</f>
        <v>Retraite IRCEM T1 - CEG T1</v>
      </c>
      <c r="B123" s="150">
        <f>+AVERAGE(B121:B122)</f>
        <v>1</v>
      </c>
      <c r="C123" s="150">
        <f t="shared" si="42"/>
        <v>1</v>
      </c>
      <c r="D123" s="150">
        <f t="shared" si="42"/>
        <v>1</v>
      </c>
      <c r="E123" s="150">
        <f t="shared" si="42"/>
        <v>1</v>
      </c>
      <c r="F123" s="150">
        <f t="shared" si="42"/>
        <v>1</v>
      </c>
      <c r="G123" s="150">
        <f t="shared" si="42"/>
        <v>1</v>
      </c>
      <c r="H123" s="150">
        <f t="shared" si="42"/>
        <v>1</v>
      </c>
      <c r="I123" s="150">
        <f t="shared" si="42"/>
        <v>1</v>
      </c>
      <c r="J123" s="150">
        <f t="shared" si="42"/>
        <v>1</v>
      </c>
      <c r="K123" s="150">
        <f t="shared" si="42"/>
        <v>1</v>
      </c>
      <c r="L123" s="150">
        <f t="shared" si="42"/>
        <v>1</v>
      </c>
      <c r="M123" s="150">
        <f t="shared" si="42"/>
        <v>1</v>
      </c>
    </row>
    <row r="124" spans="1:13" x14ac:dyDescent="0.25">
      <c r="A124" s="5" t="str">
        <f>A20</f>
        <v>CET si plafond SS atteint</v>
      </c>
      <c r="B124" s="194">
        <v>1</v>
      </c>
      <c r="C124" s="194">
        <f t="shared" si="42"/>
        <v>1</v>
      </c>
      <c r="D124" s="194">
        <f t="shared" si="42"/>
        <v>1</v>
      </c>
      <c r="E124" s="194">
        <f t="shared" si="42"/>
        <v>1</v>
      </c>
      <c r="F124" s="194">
        <f t="shared" si="42"/>
        <v>1</v>
      </c>
      <c r="G124" s="194">
        <f t="shared" si="42"/>
        <v>1</v>
      </c>
      <c r="H124" s="194">
        <f t="shared" si="42"/>
        <v>1</v>
      </c>
      <c r="I124" s="194">
        <f t="shared" si="42"/>
        <v>1</v>
      </c>
      <c r="J124" s="194">
        <f t="shared" si="42"/>
        <v>1</v>
      </c>
      <c r="K124" s="194">
        <f t="shared" si="42"/>
        <v>1</v>
      </c>
      <c r="L124" s="194">
        <f t="shared" si="42"/>
        <v>1</v>
      </c>
      <c r="M124" s="194">
        <f t="shared" si="42"/>
        <v>1</v>
      </c>
    </row>
    <row r="125" spans="1:13" x14ac:dyDescent="0.25">
      <c r="A125" s="5" t="str">
        <f>A21</f>
        <v>Retraite IRCEM T2</v>
      </c>
      <c r="B125" s="194">
        <v>1</v>
      </c>
      <c r="C125" s="194">
        <f t="shared" si="42"/>
        <v>1</v>
      </c>
      <c r="D125" s="194">
        <f t="shared" si="42"/>
        <v>1</v>
      </c>
      <c r="E125" s="194">
        <f t="shared" si="42"/>
        <v>1</v>
      </c>
      <c r="F125" s="194">
        <f t="shared" si="42"/>
        <v>1</v>
      </c>
      <c r="G125" s="194">
        <f t="shared" si="42"/>
        <v>1</v>
      </c>
      <c r="H125" s="194">
        <f t="shared" si="42"/>
        <v>1</v>
      </c>
      <c r="I125" s="194">
        <f t="shared" si="42"/>
        <v>1</v>
      </c>
      <c r="J125" s="194">
        <f t="shared" si="42"/>
        <v>1</v>
      </c>
      <c r="K125" s="194">
        <f t="shared" si="42"/>
        <v>1</v>
      </c>
      <c r="L125" s="194">
        <f t="shared" si="42"/>
        <v>1</v>
      </c>
      <c r="M125" s="194">
        <f t="shared" si="42"/>
        <v>1</v>
      </c>
    </row>
    <row r="126" spans="1:13" x14ac:dyDescent="0.25">
      <c r="A126" s="5" t="str">
        <f>A22</f>
        <v>CEG T2</v>
      </c>
      <c r="B126" s="194">
        <v>1</v>
      </c>
      <c r="C126" s="194">
        <f t="shared" si="42"/>
        <v>1</v>
      </c>
      <c r="D126" s="194">
        <f t="shared" si="42"/>
        <v>1</v>
      </c>
      <c r="E126" s="194">
        <f t="shared" si="42"/>
        <v>1</v>
      </c>
      <c r="F126" s="194">
        <f t="shared" si="42"/>
        <v>1</v>
      </c>
      <c r="G126" s="194">
        <f t="shared" si="42"/>
        <v>1</v>
      </c>
      <c r="H126" s="194">
        <f t="shared" si="42"/>
        <v>1</v>
      </c>
      <c r="I126" s="194">
        <f t="shared" si="42"/>
        <v>1</v>
      </c>
      <c r="J126" s="194">
        <f t="shared" si="42"/>
        <v>1</v>
      </c>
      <c r="K126" s="194">
        <f t="shared" si="42"/>
        <v>1</v>
      </c>
      <c r="L126" s="194">
        <f t="shared" si="42"/>
        <v>1</v>
      </c>
      <c r="M126" s="194">
        <f t="shared" si="42"/>
        <v>1</v>
      </c>
    </row>
    <row r="127" spans="1:13" x14ac:dyDescent="0.25">
      <c r="A127" s="5" t="str">
        <f>A23</f>
        <v>Retraite IRCEM T2 - CEG T2</v>
      </c>
      <c r="B127" s="150">
        <f>+AVERAGE(B125:B126)</f>
        <v>1</v>
      </c>
      <c r="C127" s="150">
        <f t="shared" si="42"/>
        <v>1</v>
      </c>
      <c r="D127" s="150">
        <f t="shared" si="42"/>
        <v>1</v>
      </c>
      <c r="E127" s="150">
        <f t="shared" si="42"/>
        <v>1</v>
      </c>
      <c r="F127" s="150">
        <f t="shared" si="42"/>
        <v>1</v>
      </c>
      <c r="G127" s="150">
        <f t="shared" si="42"/>
        <v>1</v>
      </c>
      <c r="H127" s="150">
        <f t="shared" si="42"/>
        <v>1</v>
      </c>
      <c r="I127" s="150">
        <f t="shared" si="42"/>
        <v>1</v>
      </c>
      <c r="J127" s="150">
        <f t="shared" si="42"/>
        <v>1</v>
      </c>
      <c r="K127" s="150">
        <f t="shared" si="42"/>
        <v>1</v>
      </c>
      <c r="L127" s="150">
        <f t="shared" si="42"/>
        <v>1</v>
      </c>
      <c r="M127" s="150">
        <f t="shared" si="42"/>
        <v>1</v>
      </c>
    </row>
    <row r="128" spans="1:13" x14ac:dyDescent="0.25">
      <c r="A128" s="6" t="str">
        <f>A24</f>
        <v>Famille :</v>
      </c>
      <c r="B128" s="150"/>
      <c r="C128" s="150"/>
      <c r="D128" s="150"/>
      <c r="E128" s="150"/>
      <c r="F128" s="150"/>
      <c r="G128" s="150"/>
      <c r="H128" s="150"/>
      <c r="I128" s="150"/>
      <c r="J128" s="150"/>
      <c r="K128" s="150"/>
      <c r="L128" s="150"/>
      <c r="M128" s="150"/>
    </row>
    <row r="129" spans="1:13" x14ac:dyDescent="0.25">
      <c r="A129" s="5" t="e">
        <f>#REF!</f>
        <v>#REF!</v>
      </c>
      <c r="B129" s="194">
        <v>1</v>
      </c>
      <c r="C129" s="194">
        <f>B129</f>
        <v>1</v>
      </c>
      <c r="D129" s="194">
        <f t="shared" ref="D129:M129" si="43">C129</f>
        <v>1</v>
      </c>
      <c r="E129" s="194">
        <f t="shared" si="43"/>
        <v>1</v>
      </c>
      <c r="F129" s="194">
        <f t="shared" si="43"/>
        <v>1</v>
      </c>
      <c r="G129" s="194">
        <f t="shared" si="43"/>
        <v>1</v>
      </c>
      <c r="H129" s="194">
        <f t="shared" si="43"/>
        <v>1</v>
      </c>
      <c r="I129" s="194">
        <f t="shared" si="43"/>
        <v>1</v>
      </c>
      <c r="J129" s="194">
        <f t="shared" si="43"/>
        <v>1</v>
      </c>
      <c r="K129" s="194">
        <f t="shared" si="43"/>
        <v>1</v>
      </c>
      <c r="L129" s="194">
        <f t="shared" si="43"/>
        <v>1</v>
      </c>
      <c r="M129" s="194">
        <f t="shared" si="43"/>
        <v>1</v>
      </c>
    </row>
    <row r="130" spans="1:13" x14ac:dyDescent="0.25">
      <c r="A130" s="6" t="str">
        <f>A25</f>
        <v>Assurance Chômage :</v>
      </c>
      <c r="B130" s="194">
        <v>1</v>
      </c>
      <c r="C130" s="194">
        <f>B130</f>
        <v>1</v>
      </c>
      <c r="D130" s="194">
        <f t="shared" ref="D130" si="44">C130</f>
        <v>1</v>
      </c>
      <c r="E130" s="194">
        <f t="shared" ref="E130" si="45">D130</f>
        <v>1</v>
      </c>
      <c r="F130" s="194">
        <f t="shared" ref="F130" si="46">E130</f>
        <v>1</v>
      </c>
      <c r="G130" s="194">
        <f t="shared" ref="G130" si="47">F130</f>
        <v>1</v>
      </c>
      <c r="H130" s="194">
        <f t="shared" ref="H130" si="48">G130</f>
        <v>1</v>
      </c>
      <c r="I130" s="194">
        <f t="shared" ref="I130" si="49">H130</f>
        <v>1</v>
      </c>
      <c r="J130" s="194">
        <f t="shared" ref="J130" si="50">I130</f>
        <v>1</v>
      </c>
      <c r="K130" s="194">
        <f t="shared" ref="K130" si="51">J130</f>
        <v>1</v>
      </c>
      <c r="L130" s="194">
        <f t="shared" ref="L130" si="52">K130</f>
        <v>1</v>
      </c>
      <c r="M130" s="194">
        <f t="shared" ref="M130" si="53">L130</f>
        <v>1</v>
      </c>
    </row>
    <row r="131" spans="1:13" x14ac:dyDescent="0.25">
      <c r="A131" s="6" t="str">
        <f>A26</f>
        <v>Contribution Santé au Travail</v>
      </c>
      <c r="B131" s="194">
        <v>1</v>
      </c>
      <c r="C131" s="194">
        <f>B131</f>
        <v>1</v>
      </c>
      <c r="D131" s="194">
        <f t="shared" ref="D131:M133" si="54">C131</f>
        <v>1</v>
      </c>
      <c r="E131" s="194">
        <f t="shared" si="54"/>
        <v>1</v>
      </c>
      <c r="F131" s="194">
        <f t="shared" si="54"/>
        <v>1</v>
      </c>
      <c r="G131" s="194">
        <f t="shared" si="54"/>
        <v>1</v>
      </c>
      <c r="H131" s="194">
        <f t="shared" si="54"/>
        <v>1</v>
      </c>
      <c r="I131" s="194">
        <f t="shared" si="54"/>
        <v>1</v>
      </c>
      <c r="J131" s="194">
        <f t="shared" si="54"/>
        <v>1</v>
      </c>
      <c r="K131" s="194">
        <f t="shared" si="54"/>
        <v>1</v>
      </c>
      <c r="L131" s="194">
        <f t="shared" si="54"/>
        <v>1</v>
      </c>
      <c r="M131" s="194">
        <f t="shared" si="54"/>
        <v>1</v>
      </c>
    </row>
    <row r="132" spans="1:13" x14ac:dyDescent="0.25">
      <c r="A132" s="7" t="str">
        <f>A27</f>
        <v>Autres cotisations patronales</v>
      </c>
      <c r="B132" s="194">
        <v>1</v>
      </c>
      <c r="C132" s="194">
        <f>B132</f>
        <v>1</v>
      </c>
      <c r="D132" s="194">
        <f t="shared" si="54"/>
        <v>1</v>
      </c>
      <c r="E132" s="194">
        <f t="shared" si="54"/>
        <v>1</v>
      </c>
      <c r="F132" s="194">
        <f t="shared" si="54"/>
        <v>1</v>
      </c>
      <c r="G132" s="194">
        <f t="shared" si="54"/>
        <v>1</v>
      </c>
      <c r="H132" s="194">
        <f t="shared" si="54"/>
        <v>1</v>
      </c>
      <c r="I132" s="194">
        <f t="shared" si="54"/>
        <v>1</v>
      </c>
      <c r="J132" s="194">
        <f t="shared" si="54"/>
        <v>1</v>
      </c>
      <c r="K132" s="194">
        <f t="shared" si="54"/>
        <v>1</v>
      </c>
      <c r="L132" s="194">
        <f t="shared" si="54"/>
        <v>1</v>
      </c>
      <c r="M132" s="194">
        <f t="shared" si="54"/>
        <v>1</v>
      </c>
    </row>
    <row r="133" spans="1:13" x14ac:dyDescent="0.25">
      <c r="A133" s="7" t="str">
        <f>A28</f>
        <v>Autres cotisations patronales T1</v>
      </c>
      <c r="B133" s="194">
        <v>1</v>
      </c>
      <c r="C133" s="194">
        <f>B133</f>
        <v>1</v>
      </c>
      <c r="D133" s="194">
        <f t="shared" si="54"/>
        <v>1</v>
      </c>
      <c r="E133" s="194">
        <f t="shared" si="54"/>
        <v>1</v>
      </c>
      <c r="F133" s="194">
        <f t="shared" si="54"/>
        <v>1</v>
      </c>
      <c r="G133" s="194">
        <f t="shared" si="54"/>
        <v>1</v>
      </c>
      <c r="H133" s="194">
        <f t="shared" si="54"/>
        <v>1</v>
      </c>
      <c r="I133" s="194">
        <f t="shared" si="54"/>
        <v>1</v>
      </c>
      <c r="J133" s="194">
        <f t="shared" si="54"/>
        <v>1</v>
      </c>
      <c r="K133" s="194">
        <f t="shared" si="54"/>
        <v>1</v>
      </c>
      <c r="L133" s="194">
        <f t="shared" si="54"/>
        <v>1</v>
      </c>
      <c r="M133" s="194">
        <f t="shared" si="54"/>
        <v>1</v>
      </c>
    </row>
    <row r="134" spans="1:13" x14ac:dyDescent="0.25">
      <c r="A134" s="1" t="str">
        <f>A29</f>
        <v>CSG déductible de l'IR</v>
      </c>
      <c r="B134" s="150"/>
      <c r="C134" s="150"/>
      <c r="D134" s="150"/>
      <c r="E134" s="150"/>
      <c r="F134" s="150"/>
      <c r="G134" s="150"/>
      <c r="H134" s="150"/>
      <c r="I134" s="150"/>
      <c r="J134" s="150"/>
      <c r="K134" s="150"/>
      <c r="L134" s="150"/>
      <c r="M134" s="150"/>
    </row>
    <row r="135" spans="1:13" x14ac:dyDescent="0.25">
      <c r="A135" s="1" t="str">
        <f>A30</f>
        <v>CSG/RDS non déductible de l'IR</v>
      </c>
      <c r="B135" s="150"/>
      <c r="C135" s="150"/>
      <c r="D135" s="150"/>
      <c r="E135" s="150"/>
      <c r="F135" s="150"/>
      <c r="G135" s="150"/>
      <c r="H135" s="150"/>
      <c r="I135" s="150"/>
      <c r="J135" s="150"/>
      <c r="K135" s="150"/>
      <c r="L135" s="150"/>
      <c r="M135" s="150"/>
    </row>
    <row r="136" spans="1:13" x14ac:dyDescent="0.25">
      <c r="A136" s="1" t="str">
        <f>A31</f>
        <v>CSG/RDS non déd sur rev non imp</v>
      </c>
      <c r="B136" s="150"/>
      <c r="C136" s="150"/>
      <c r="D136" s="150"/>
      <c r="E136" s="150"/>
      <c r="F136" s="150"/>
      <c r="G136" s="150"/>
      <c r="H136" s="150"/>
      <c r="I136" s="150"/>
      <c r="J136" s="150"/>
      <c r="K136" s="150"/>
      <c r="L136" s="150"/>
      <c r="M136" s="150"/>
    </row>
    <row r="137" spans="1:13" x14ac:dyDescent="0.25">
      <c r="A137" s="8" t="str">
        <f>A32</f>
        <v>Réduction cot. HC et HS</v>
      </c>
      <c r="B137" s="151"/>
      <c r="C137" s="151"/>
      <c r="D137" s="151"/>
      <c r="E137" s="151"/>
      <c r="F137" s="151"/>
      <c r="G137" s="151"/>
      <c r="H137" s="151"/>
      <c r="I137" s="151"/>
      <c r="J137" s="151"/>
      <c r="K137" s="151"/>
      <c r="L137" s="151"/>
      <c r="M137" s="151"/>
    </row>
  </sheetData>
  <sheetProtection algorithmName="SHA-512" hashValue="7W6SgT2oC0mZx4dK9O+awH/SGJxdJlLiWJn+8sHTBxfpwln+T1HZWvmO2J524BoaKiV0N8v37r5EKPfVG+3aiw==" saltValue="f3RHyVGyCk+9DmXThW5rUw==" spinCount="100000" sheet="1" objects="1" scenarios="1" formatCells="0" formatColumns="0" formatRows="0" insertColumns="0" insertRows="0" insertHyperlinks="0" sort="0" autoFilter="0" pivotTables="0"/>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8</vt:i4>
      </vt:variant>
    </vt:vector>
  </HeadingPairs>
  <TitlesOfParts>
    <vt:vector size="13" baseType="lpstr">
      <vt:lpstr>Bulletin simple</vt:lpstr>
      <vt:lpstr>Retenue sur salaire</vt:lpstr>
      <vt:lpstr>Déclaration Pajemploi</vt:lpstr>
      <vt:lpstr>Exemple</vt:lpstr>
      <vt:lpstr>Taux_cotisations</vt:lpstr>
      <vt:lpstr>base_smic</vt:lpstr>
      <vt:lpstr>HR_HM</vt:lpstr>
      <vt:lpstr>table_coef_base_patronale</vt:lpstr>
      <vt:lpstr>table_coef_base_salariale</vt:lpstr>
      <vt:lpstr>table_taux_patronales</vt:lpstr>
      <vt:lpstr>table_taux_salariale</vt:lpstr>
      <vt:lpstr>'Bulletin simple'!Zone_d_impression</vt:lpstr>
      <vt:lpstr>'Déclaration Pajemploi'!Zone_d_impression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POUTEAU</dc:creator>
  <cp:lastModifiedBy>David POUTEAU</cp:lastModifiedBy>
  <cp:lastPrinted>2024-05-30T12:26:01Z</cp:lastPrinted>
  <dcterms:created xsi:type="dcterms:W3CDTF">2021-01-26T12:57:05Z</dcterms:created>
  <dcterms:modified xsi:type="dcterms:W3CDTF">2025-02-26T08:08:02Z</dcterms:modified>
</cp:coreProperties>
</file>