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on Drive\Clé usb\FoFGTA\Mayotte\"/>
    </mc:Choice>
  </mc:AlternateContent>
  <xr:revisionPtr revIDLastSave="0" documentId="8_{CE45411C-9A03-4DA7-BD59-55C0D42897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nsualisation" sheetId="1" r:id="rId1"/>
    <sheet name="Aide de la CAF et coût" sheetId="4" state="hidden" r:id="rId2"/>
    <sheet name="Coût mensuel et CMG" sheetId="9" r:id="rId3"/>
    <sheet name="base" sheetId="8" state="hidden" r:id="rId4"/>
    <sheet name="Exemple 1 année incomplète" sheetId="5" r:id="rId5"/>
    <sheet name="Exemple 2 année complète" sheetId="6" r:id="rId6"/>
    <sheet name="Exemple 3 année complète péris" sheetId="7" r:id="rId7"/>
  </sheets>
  <definedNames>
    <definedName name="base">base!$A$2:$S$20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G34" i="7"/>
  <c r="G32" i="7"/>
  <c r="G36" i="7" s="1"/>
  <c r="AW27" i="7"/>
  <c r="U27" i="7"/>
  <c r="AW17" i="7"/>
  <c r="AW20" i="7" s="1"/>
  <c r="AW25" i="7" s="1"/>
  <c r="U17" i="7"/>
  <c r="U20" i="7" s="1"/>
  <c r="U25" i="7" s="1"/>
  <c r="BC16" i="7"/>
  <c r="BD16" i="7" s="1"/>
  <c r="AV16" i="7"/>
  <c r="AW16" i="7" s="1"/>
  <c r="AO16" i="7"/>
  <c r="AP16" i="7" s="1"/>
  <c r="AH16" i="7"/>
  <c r="AI16" i="7" s="1"/>
  <c r="AA16" i="7"/>
  <c r="AB16" i="7" s="1"/>
  <c r="T16" i="7"/>
  <c r="U16" i="7" s="1"/>
  <c r="M16" i="7"/>
  <c r="N16" i="7" s="1"/>
  <c r="F16" i="7"/>
  <c r="G16" i="7" s="1"/>
  <c r="BC15" i="7"/>
  <c r="BD15" i="7" s="1"/>
  <c r="AV15" i="7"/>
  <c r="AW15" i="7" s="1"/>
  <c r="AO15" i="7"/>
  <c r="AP15" i="7" s="1"/>
  <c r="AH15" i="7"/>
  <c r="AI15" i="7" s="1"/>
  <c r="AA15" i="7"/>
  <c r="AB15" i="7" s="1"/>
  <c r="T15" i="7"/>
  <c r="U15" i="7" s="1"/>
  <c r="M15" i="7"/>
  <c r="N15" i="7" s="1"/>
  <c r="F15" i="7"/>
  <c r="G15" i="7" s="1"/>
  <c r="BC14" i="7"/>
  <c r="BD14" i="7" s="1"/>
  <c r="AV14" i="7"/>
  <c r="AW14" i="7" s="1"/>
  <c r="AO14" i="7"/>
  <c r="AP14" i="7" s="1"/>
  <c r="AH14" i="7"/>
  <c r="AI14" i="7" s="1"/>
  <c r="AA14" i="7"/>
  <c r="AB14" i="7" s="1"/>
  <c r="T14" i="7"/>
  <c r="U14" i="7" s="1"/>
  <c r="M14" i="7"/>
  <c r="N14" i="7" s="1"/>
  <c r="F14" i="7"/>
  <c r="G14" i="7" s="1"/>
  <c r="BC13" i="7"/>
  <c r="BD13" i="7" s="1"/>
  <c r="AV13" i="7"/>
  <c r="AW13" i="7" s="1"/>
  <c r="AO13" i="7"/>
  <c r="AP13" i="7" s="1"/>
  <c r="AH13" i="7"/>
  <c r="AI13" i="7" s="1"/>
  <c r="AA13" i="7"/>
  <c r="AB13" i="7" s="1"/>
  <c r="T13" i="7"/>
  <c r="U13" i="7" s="1"/>
  <c r="M13" i="7"/>
  <c r="N13" i="7" s="1"/>
  <c r="F13" i="7"/>
  <c r="G13" i="7" s="1"/>
  <c r="BC12" i="7"/>
  <c r="BD12" i="7" s="1"/>
  <c r="AV12" i="7"/>
  <c r="AW12" i="7" s="1"/>
  <c r="AO12" i="7"/>
  <c r="AP12" i="7" s="1"/>
  <c r="AH12" i="7"/>
  <c r="AI12" i="7" s="1"/>
  <c r="AA12" i="7"/>
  <c r="AB12" i="7" s="1"/>
  <c r="T12" i="7"/>
  <c r="U12" i="7" s="1"/>
  <c r="M12" i="7"/>
  <c r="N12" i="7" s="1"/>
  <c r="F12" i="7"/>
  <c r="G12" i="7" s="1"/>
  <c r="BC11" i="7"/>
  <c r="BD11" i="7" s="1"/>
  <c r="AV11" i="7"/>
  <c r="AW11" i="7" s="1"/>
  <c r="AO11" i="7"/>
  <c r="AP11" i="7" s="1"/>
  <c r="AH11" i="7"/>
  <c r="AI11" i="7" s="1"/>
  <c r="AA11" i="7"/>
  <c r="AB11" i="7" s="1"/>
  <c r="T11" i="7"/>
  <c r="U11" i="7" s="1"/>
  <c r="M11" i="7"/>
  <c r="N11" i="7" s="1"/>
  <c r="F11" i="7"/>
  <c r="G11" i="7" s="1"/>
  <c r="BC10" i="7"/>
  <c r="BD10" i="7" s="1"/>
  <c r="AV10" i="7"/>
  <c r="AW10" i="7" s="1"/>
  <c r="AO10" i="7"/>
  <c r="AP10" i="7" s="1"/>
  <c r="AH10" i="7"/>
  <c r="AI10" i="7" s="1"/>
  <c r="AI27" i="7" s="1"/>
  <c r="AA10" i="7"/>
  <c r="AB10" i="7" s="1"/>
  <c r="T10" i="7"/>
  <c r="U10" i="7" s="1"/>
  <c r="N10" i="7"/>
  <c r="M10" i="7"/>
  <c r="G10" i="7"/>
  <c r="G27" i="7" s="1"/>
  <c r="F10" i="7"/>
  <c r="D5" i="7"/>
  <c r="N32" i="7" s="1"/>
  <c r="G40" i="7" s="1"/>
  <c r="N38" i="6"/>
  <c r="G34" i="6"/>
  <c r="G32" i="6"/>
  <c r="G36" i="6" s="1"/>
  <c r="AW27" i="6"/>
  <c r="U27" i="6"/>
  <c r="AW17" i="6"/>
  <c r="AW20" i="6" s="1"/>
  <c r="AW25" i="6" s="1"/>
  <c r="U17" i="6"/>
  <c r="U20" i="6" s="1"/>
  <c r="U25" i="6" s="1"/>
  <c r="BC16" i="6"/>
  <c r="BD16" i="6" s="1"/>
  <c r="AV16" i="6"/>
  <c r="AW16" i="6" s="1"/>
  <c r="AO16" i="6"/>
  <c r="AP16" i="6" s="1"/>
  <c r="AH16" i="6"/>
  <c r="AI16" i="6" s="1"/>
  <c r="AA16" i="6"/>
  <c r="AB16" i="6" s="1"/>
  <c r="T16" i="6"/>
  <c r="U16" i="6" s="1"/>
  <c r="M16" i="6"/>
  <c r="N16" i="6" s="1"/>
  <c r="F16" i="6"/>
  <c r="G16" i="6" s="1"/>
  <c r="BC15" i="6"/>
  <c r="BD15" i="6" s="1"/>
  <c r="AV15" i="6"/>
  <c r="AW15" i="6" s="1"/>
  <c r="AO15" i="6"/>
  <c r="AP15" i="6" s="1"/>
  <c r="AH15" i="6"/>
  <c r="AI15" i="6" s="1"/>
  <c r="AA15" i="6"/>
  <c r="AB15" i="6" s="1"/>
  <c r="T15" i="6"/>
  <c r="U15" i="6" s="1"/>
  <c r="M15" i="6"/>
  <c r="N15" i="6" s="1"/>
  <c r="F15" i="6"/>
  <c r="G15" i="6" s="1"/>
  <c r="BC14" i="6"/>
  <c r="BD14" i="6" s="1"/>
  <c r="AV14" i="6"/>
  <c r="AW14" i="6" s="1"/>
  <c r="AO14" i="6"/>
  <c r="AP14" i="6" s="1"/>
  <c r="AH14" i="6"/>
  <c r="AI14" i="6" s="1"/>
  <c r="AA14" i="6"/>
  <c r="AB14" i="6" s="1"/>
  <c r="T14" i="6"/>
  <c r="U14" i="6" s="1"/>
  <c r="M14" i="6"/>
  <c r="N14" i="6" s="1"/>
  <c r="F14" i="6"/>
  <c r="G14" i="6" s="1"/>
  <c r="BC13" i="6"/>
  <c r="BD13" i="6" s="1"/>
  <c r="AV13" i="6"/>
  <c r="AW13" i="6" s="1"/>
  <c r="AO13" i="6"/>
  <c r="AP13" i="6" s="1"/>
  <c r="AH13" i="6"/>
  <c r="AI13" i="6" s="1"/>
  <c r="AA13" i="6"/>
  <c r="AB13" i="6" s="1"/>
  <c r="T13" i="6"/>
  <c r="U13" i="6" s="1"/>
  <c r="M13" i="6"/>
  <c r="N13" i="6" s="1"/>
  <c r="F13" i="6"/>
  <c r="G13" i="6" s="1"/>
  <c r="BC12" i="6"/>
  <c r="BD12" i="6" s="1"/>
  <c r="AV12" i="6"/>
  <c r="AW12" i="6" s="1"/>
  <c r="AO12" i="6"/>
  <c r="AP12" i="6" s="1"/>
  <c r="AH12" i="6"/>
  <c r="AI12" i="6" s="1"/>
  <c r="AA12" i="6"/>
  <c r="AB12" i="6" s="1"/>
  <c r="T12" i="6"/>
  <c r="U12" i="6" s="1"/>
  <c r="M12" i="6"/>
  <c r="N12" i="6" s="1"/>
  <c r="F12" i="6"/>
  <c r="G12" i="6" s="1"/>
  <c r="BC11" i="6"/>
  <c r="BD11" i="6" s="1"/>
  <c r="AV11" i="6"/>
  <c r="AW11" i="6" s="1"/>
  <c r="AO11" i="6"/>
  <c r="AP11" i="6" s="1"/>
  <c r="AH11" i="6"/>
  <c r="AI11" i="6" s="1"/>
  <c r="AA11" i="6"/>
  <c r="AB11" i="6" s="1"/>
  <c r="T11" i="6"/>
  <c r="U11" i="6" s="1"/>
  <c r="M11" i="6"/>
  <c r="N11" i="6" s="1"/>
  <c r="F11" i="6"/>
  <c r="G11" i="6" s="1"/>
  <c r="BC10" i="6"/>
  <c r="BD10" i="6" s="1"/>
  <c r="AV10" i="6"/>
  <c r="AW10" i="6" s="1"/>
  <c r="AO10" i="6"/>
  <c r="AP10" i="6" s="1"/>
  <c r="AH10" i="6"/>
  <c r="AI10" i="6" s="1"/>
  <c r="AI27" i="6" s="1"/>
  <c r="AA10" i="6"/>
  <c r="AB10" i="6" s="1"/>
  <c r="T10" i="6"/>
  <c r="U10" i="6" s="1"/>
  <c r="N10" i="6"/>
  <c r="M10" i="6"/>
  <c r="G10" i="6"/>
  <c r="G27" i="6" s="1"/>
  <c r="F10" i="6"/>
  <c r="D5" i="6"/>
  <c r="N32" i="6" s="1"/>
  <c r="G40" i="6" s="1"/>
  <c r="N27" i="7" l="1"/>
  <c r="G45" i="7" s="1"/>
  <c r="G49" i="7" s="1"/>
  <c r="N17" i="7"/>
  <c r="AB27" i="7"/>
  <c r="AB17" i="7"/>
  <c r="AP27" i="7"/>
  <c r="AP17" i="7"/>
  <c r="BD27" i="7"/>
  <c r="BD17" i="7"/>
  <c r="U19" i="7"/>
  <c r="U24" i="7" s="1"/>
  <c r="AW19" i="7"/>
  <c r="AW24" i="7" s="1"/>
  <c r="G17" i="7"/>
  <c r="AI17" i="7"/>
  <c r="N27" i="6"/>
  <c r="G45" i="6" s="1"/>
  <c r="G49" i="6" s="1"/>
  <c r="N17" i="6"/>
  <c r="AB27" i="6"/>
  <c r="AB17" i="6"/>
  <c r="AP27" i="6"/>
  <c r="AP17" i="6"/>
  <c r="BD27" i="6"/>
  <c r="BD17" i="6"/>
  <c r="U19" i="6"/>
  <c r="U24" i="6" s="1"/>
  <c r="AW19" i="6"/>
  <c r="AW24" i="6" s="1"/>
  <c r="G17" i="6"/>
  <c r="AI17" i="6"/>
  <c r="G20" i="7" l="1"/>
  <c r="G25" i="7" s="1"/>
  <c r="G19" i="7"/>
  <c r="G24" i="7" s="1"/>
  <c r="AI20" i="7"/>
  <c r="AI25" i="7" s="1"/>
  <c r="AI19" i="7"/>
  <c r="AI24" i="7" s="1"/>
  <c r="BD20" i="7"/>
  <c r="BD25" i="7" s="1"/>
  <c r="BD19" i="7"/>
  <c r="BD24" i="7" s="1"/>
  <c r="AP20" i="7"/>
  <c r="AP25" i="7" s="1"/>
  <c r="AP19" i="7"/>
  <c r="AP24" i="7" s="1"/>
  <c r="AB20" i="7"/>
  <c r="AB25" i="7" s="1"/>
  <c r="AB19" i="7"/>
  <c r="AB24" i="7" s="1"/>
  <c r="N20" i="7"/>
  <c r="N25" i="7" s="1"/>
  <c r="N19" i="7"/>
  <c r="N24" i="7" s="1"/>
  <c r="G20" i="6"/>
  <c r="G25" i="6" s="1"/>
  <c r="G19" i="6"/>
  <c r="G24" i="6" s="1"/>
  <c r="AI20" i="6"/>
  <c r="AI25" i="6" s="1"/>
  <c r="AI19" i="6"/>
  <c r="AI24" i="6" s="1"/>
  <c r="BD20" i="6"/>
  <c r="BD25" i="6" s="1"/>
  <c r="BD19" i="6"/>
  <c r="BD24" i="6" s="1"/>
  <c r="AP20" i="6"/>
  <c r="AP25" i="6" s="1"/>
  <c r="AP19" i="6"/>
  <c r="AP24" i="6" s="1"/>
  <c r="AB20" i="6"/>
  <c r="AB25" i="6" s="1"/>
  <c r="AB19" i="6"/>
  <c r="AB24" i="6" s="1"/>
  <c r="N20" i="6"/>
  <c r="N25" i="6" s="1"/>
  <c r="N19" i="6"/>
  <c r="N24" i="6" s="1"/>
  <c r="G42" i="7" l="1"/>
  <c r="G51" i="7" s="1"/>
  <c r="G43" i="7"/>
  <c r="G52" i="7" s="1"/>
  <c r="G53" i="7" s="1"/>
  <c r="G42" i="6"/>
  <c r="G51" i="6" s="1"/>
  <c r="G43" i="6"/>
  <c r="G52" i="6" s="1"/>
  <c r="G53" i="6" s="1"/>
  <c r="G55" i="7" l="1"/>
  <c r="G55" i="6"/>
  <c r="N38" i="5" l="1"/>
  <c r="G36" i="5"/>
  <c r="G32" i="5"/>
  <c r="G34" i="5" s="1"/>
  <c r="BD16" i="5"/>
  <c r="BC16" i="5"/>
  <c r="AW16" i="5"/>
  <c r="AV16" i="5"/>
  <c r="AP16" i="5"/>
  <c r="AO16" i="5"/>
  <c r="AI16" i="5"/>
  <c r="AH16" i="5"/>
  <c r="AB16" i="5"/>
  <c r="AA16" i="5"/>
  <c r="U16" i="5"/>
  <c r="T16" i="5"/>
  <c r="N16" i="5"/>
  <c r="M16" i="5"/>
  <c r="G16" i="5"/>
  <c r="F16" i="5"/>
  <c r="BD15" i="5"/>
  <c r="BC15" i="5"/>
  <c r="AW15" i="5"/>
  <c r="AV15" i="5"/>
  <c r="AP15" i="5"/>
  <c r="AO15" i="5"/>
  <c r="AI15" i="5"/>
  <c r="AH15" i="5"/>
  <c r="AB15" i="5"/>
  <c r="AA15" i="5"/>
  <c r="U15" i="5"/>
  <c r="T15" i="5"/>
  <c r="N15" i="5"/>
  <c r="M15" i="5"/>
  <c r="G15" i="5"/>
  <c r="F15" i="5"/>
  <c r="BD14" i="5"/>
  <c r="BC14" i="5"/>
  <c r="AW14" i="5"/>
  <c r="AV14" i="5"/>
  <c r="AP14" i="5"/>
  <c r="AO14" i="5"/>
  <c r="AI14" i="5"/>
  <c r="AH14" i="5"/>
  <c r="AB14" i="5"/>
  <c r="AA14" i="5"/>
  <c r="U14" i="5"/>
  <c r="T14" i="5"/>
  <c r="N14" i="5"/>
  <c r="M14" i="5"/>
  <c r="G14" i="5"/>
  <c r="F14" i="5"/>
  <c r="BD13" i="5"/>
  <c r="BC13" i="5"/>
  <c r="AW13" i="5"/>
  <c r="AV13" i="5"/>
  <c r="AP13" i="5"/>
  <c r="AO13" i="5"/>
  <c r="AI13" i="5"/>
  <c r="AH13" i="5"/>
  <c r="AB13" i="5"/>
  <c r="AA13" i="5"/>
  <c r="U13" i="5"/>
  <c r="T13" i="5"/>
  <c r="N13" i="5"/>
  <c r="M13" i="5"/>
  <c r="G13" i="5"/>
  <c r="F13" i="5"/>
  <c r="BD12" i="5"/>
  <c r="BC12" i="5"/>
  <c r="AW12" i="5"/>
  <c r="AV12" i="5"/>
  <c r="AP12" i="5"/>
  <c r="AO12" i="5"/>
  <c r="AI12" i="5"/>
  <c r="AH12" i="5"/>
  <c r="AB12" i="5"/>
  <c r="AA12" i="5"/>
  <c r="U12" i="5"/>
  <c r="T12" i="5"/>
  <c r="N12" i="5"/>
  <c r="M12" i="5"/>
  <c r="G12" i="5"/>
  <c r="F12" i="5"/>
  <c r="BD11" i="5"/>
  <c r="BC11" i="5"/>
  <c r="AW11" i="5"/>
  <c r="AV11" i="5"/>
  <c r="AP11" i="5"/>
  <c r="AO11" i="5"/>
  <c r="AI11" i="5"/>
  <c r="AH11" i="5"/>
  <c r="AB11" i="5"/>
  <c r="AA11" i="5"/>
  <c r="U11" i="5"/>
  <c r="T11" i="5"/>
  <c r="N11" i="5"/>
  <c r="M11" i="5"/>
  <c r="G11" i="5"/>
  <c r="F11" i="5"/>
  <c r="BD10" i="5"/>
  <c r="BD27" i="5" s="1"/>
  <c r="BC10" i="5"/>
  <c r="AW10" i="5"/>
  <c r="AW27" i="5" s="1"/>
  <c r="AV10" i="5"/>
  <c r="AP10" i="5"/>
  <c r="AP27" i="5" s="1"/>
  <c r="AO10" i="5"/>
  <c r="AI10" i="5"/>
  <c r="AI27" i="5" s="1"/>
  <c r="AH10" i="5"/>
  <c r="AB10" i="5"/>
  <c r="AB27" i="5" s="1"/>
  <c r="AA10" i="5"/>
  <c r="U10" i="5"/>
  <c r="U27" i="5" s="1"/>
  <c r="T10" i="5"/>
  <c r="N10" i="5"/>
  <c r="N27" i="5" s="1"/>
  <c r="M10" i="5"/>
  <c r="G10" i="5"/>
  <c r="G27" i="5" s="1"/>
  <c r="G45" i="5" s="1"/>
  <c r="G49" i="5" s="1"/>
  <c r="F10" i="5"/>
  <c r="D5" i="5"/>
  <c r="N32" i="5" s="1"/>
  <c r="G40" i="5" s="1"/>
  <c r="X82" i="9"/>
  <c r="AC82" i="9" s="1"/>
  <c r="W82" i="9"/>
  <c r="AC81" i="9"/>
  <c r="W81" i="9"/>
  <c r="X78" i="9"/>
  <c r="AC78" i="9" s="1"/>
  <c r="W78" i="9"/>
  <c r="W77" i="9"/>
  <c r="AC77" i="9" s="1"/>
  <c r="X75" i="9"/>
  <c r="AC75" i="9" s="1"/>
  <c r="W75" i="9"/>
  <c r="AC74" i="9"/>
  <c r="W74" i="9"/>
  <c r="X65" i="9"/>
  <c r="AC65" i="9" s="1"/>
  <c r="W65" i="9"/>
  <c r="AC64" i="9"/>
  <c r="W64" i="9"/>
  <c r="AC63" i="9"/>
  <c r="W63" i="9"/>
  <c r="AC62" i="9"/>
  <c r="W62" i="9"/>
  <c r="AC61" i="9"/>
  <c r="W61" i="9"/>
  <c r="X54" i="9"/>
  <c r="AC54" i="9" s="1"/>
  <c r="AC53" i="9"/>
  <c r="X53" i="9"/>
  <c r="W54" i="9" s="1"/>
  <c r="N17" i="5" l="1"/>
  <c r="AB17" i="5"/>
  <c r="AP17" i="5"/>
  <c r="BD17" i="5"/>
  <c r="G17" i="5"/>
  <c r="U17" i="5"/>
  <c r="AI17" i="5"/>
  <c r="AW17" i="5"/>
  <c r="W55" i="9"/>
  <c r="X55" i="9" s="1"/>
  <c r="W66" i="9"/>
  <c r="X66" i="9" s="1"/>
  <c r="W76" i="9"/>
  <c r="AC76" i="9" s="1"/>
  <c r="W79" i="9"/>
  <c r="X79" i="9" s="1"/>
  <c r="W83" i="9"/>
  <c r="X83" i="9" s="1"/>
  <c r="AW20" i="5" l="1"/>
  <c r="AW25" i="5" s="1"/>
  <c r="AW19" i="5"/>
  <c r="AW24" i="5" s="1"/>
  <c r="U20" i="5"/>
  <c r="U25" i="5" s="1"/>
  <c r="U19" i="5"/>
  <c r="U24" i="5" s="1"/>
  <c r="BD20" i="5"/>
  <c r="BD25" i="5" s="1"/>
  <c r="BD19" i="5"/>
  <c r="BD24" i="5" s="1"/>
  <c r="AB20" i="5"/>
  <c r="AB25" i="5" s="1"/>
  <c r="AB19" i="5"/>
  <c r="AB24" i="5" s="1"/>
  <c r="AI20" i="5"/>
  <c r="AI25" i="5" s="1"/>
  <c r="AI19" i="5"/>
  <c r="AI24" i="5" s="1"/>
  <c r="G20" i="5"/>
  <c r="G25" i="5" s="1"/>
  <c r="G19" i="5"/>
  <c r="G24" i="5" s="1"/>
  <c r="AP20" i="5"/>
  <c r="AP25" i="5" s="1"/>
  <c r="AP19" i="5"/>
  <c r="AP24" i="5" s="1"/>
  <c r="N20" i="5"/>
  <c r="N25" i="5" s="1"/>
  <c r="N19" i="5"/>
  <c r="N24" i="5" s="1"/>
  <c r="W80" i="9"/>
  <c r="AC80" i="9" s="1"/>
  <c r="AC79" i="9"/>
  <c r="W67" i="9"/>
  <c r="X67" i="9" s="1"/>
  <c r="AC66" i="9"/>
  <c r="W84" i="9"/>
  <c r="X84" i="9" s="1"/>
  <c r="AC83" i="9"/>
  <c r="W56" i="9"/>
  <c r="X56" i="9" s="1"/>
  <c r="AC55" i="9"/>
  <c r="G42" i="5" l="1"/>
  <c r="G51" i="5" s="1"/>
  <c r="G43" i="5"/>
  <c r="G52" i="5" s="1"/>
  <c r="AC56" i="9"/>
  <c r="W57" i="9"/>
  <c r="X57" i="9" s="1"/>
  <c r="AC84" i="9"/>
  <c r="W85" i="9"/>
  <c r="X85" i="9" s="1"/>
  <c r="AC67" i="9"/>
  <c r="W68" i="9"/>
  <c r="X68" i="9" s="1"/>
  <c r="G53" i="5" l="1"/>
  <c r="G55" i="5"/>
  <c r="W69" i="9"/>
  <c r="X69" i="9" s="1"/>
  <c r="AC68" i="9"/>
  <c r="W86" i="9"/>
  <c r="X86" i="9" s="1"/>
  <c r="AC85" i="9"/>
  <c r="W58" i="9"/>
  <c r="X58" i="9" s="1"/>
  <c r="AC57" i="9"/>
  <c r="AC58" i="9" l="1"/>
  <c r="W59" i="9"/>
  <c r="X59" i="9" s="1"/>
  <c r="AC86" i="9"/>
  <c r="W87" i="9"/>
  <c r="X87" i="9" s="1"/>
  <c r="AC69" i="9"/>
  <c r="W70" i="9"/>
  <c r="X70" i="9" s="1"/>
  <c r="W71" i="9" l="1"/>
  <c r="X71" i="9" s="1"/>
  <c r="AC70" i="9"/>
  <c r="W88" i="9"/>
  <c r="X88" i="9" s="1"/>
  <c r="AC87" i="9"/>
  <c r="W60" i="9"/>
  <c r="AC60" i="9" s="1"/>
  <c r="AC59" i="9"/>
  <c r="AC88" i="9" l="1"/>
  <c r="W89" i="9"/>
  <c r="X89" i="9" s="1"/>
  <c r="AC71" i="9"/>
  <c r="W72" i="9"/>
  <c r="X72" i="9" s="1"/>
  <c r="W73" i="9" l="1"/>
  <c r="AC73" i="9" s="1"/>
  <c r="AC72" i="9"/>
  <c r="W90" i="9"/>
  <c r="X90" i="9" s="1"/>
  <c r="AC89" i="9"/>
  <c r="AC90" i="9" l="1"/>
  <c r="W91" i="9"/>
  <c r="X91" i="9" s="1"/>
  <c r="W92" i="9" l="1"/>
  <c r="X92" i="9" s="1"/>
  <c r="AC91" i="9"/>
  <c r="AC92" i="9" l="1"/>
  <c r="W93" i="9"/>
  <c r="X93" i="9" s="1"/>
  <c r="W94" i="9" l="1"/>
  <c r="X94" i="9" s="1"/>
  <c r="AC93" i="9"/>
  <c r="AC94" i="9" l="1"/>
  <c r="W95" i="9"/>
  <c r="X95" i="9" s="1"/>
  <c r="W96" i="9" l="1"/>
  <c r="X96" i="9" s="1"/>
  <c r="AC96" i="9" s="1"/>
  <c r="AC95" i="9"/>
  <c r="G35" i="9" l="1"/>
  <c r="AB29" i="9"/>
  <c r="I51" i="9"/>
  <c r="A51" i="9"/>
  <c r="E51" i="9"/>
  <c r="A53" i="9"/>
  <c r="I53" i="9" s="1"/>
  <c r="AB37" i="9"/>
  <c r="AC36" i="9" s="1"/>
  <c r="AB38" i="9"/>
  <c r="AC37" i="9" s="1"/>
  <c r="AB39" i="9"/>
  <c r="AC38" i="9" s="1"/>
  <c r="AB40" i="9"/>
  <c r="AC39" i="9" s="1"/>
  <c r="AB41" i="9"/>
  <c r="AC40" i="9" s="1"/>
  <c r="AB42" i="9"/>
  <c r="AC41" i="9" s="1"/>
  <c r="AB43" i="9"/>
  <c r="AC42" i="9" s="1"/>
  <c r="AC43" i="9" s="1"/>
  <c r="AB36" i="9"/>
  <c r="AC35" i="9" s="1"/>
  <c r="AB33" i="9"/>
  <c r="AC32" i="9" s="1"/>
  <c r="AB34" i="9"/>
  <c r="AC33" i="9" s="1"/>
  <c r="AB35" i="9"/>
  <c r="AC34" i="9" s="1"/>
  <c r="AB32" i="9"/>
  <c r="AC31" i="9" s="1"/>
  <c r="AB31" i="9"/>
  <c r="AC30" i="9" s="1"/>
  <c r="AB30" i="9"/>
  <c r="AC29" i="9" s="1"/>
  <c r="D5" i="1"/>
  <c r="Z13" i="4" s="1"/>
  <c r="E53" i="9" l="1"/>
  <c r="N32" i="1"/>
  <c r="Y4" i="4"/>
  <c r="Y6" i="4"/>
  <c r="X12" i="4"/>
  <c r="Y13" i="4"/>
  <c r="Y5" i="4"/>
  <c r="Y7" i="4"/>
  <c r="Z12" i="4"/>
  <c r="X15" i="4"/>
  <c r="X4" i="4"/>
  <c r="X6" i="4"/>
  <c r="X9" i="4"/>
  <c r="X13" i="4"/>
  <c r="X5" i="4"/>
  <c r="X7" i="4"/>
  <c r="Y12" i="4"/>
  <c r="AD13" i="4" l="1"/>
  <c r="I23" i="4" s="1"/>
  <c r="AD12" i="4"/>
  <c r="I22" i="4" s="1"/>
  <c r="AF13" i="4"/>
  <c r="I33" i="4" s="1"/>
  <c r="AE12" i="4"/>
  <c r="I27" i="4" s="1"/>
  <c r="AE6" i="4"/>
  <c r="AE13" i="4"/>
  <c r="I28" i="4" s="1"/>
  <c r="AD5" i="4"/>
  <c r="AE5" i="4"/>
  <c r="AD4" i="4"/>
  <c r="AF12" i="4"/>
  <c r="I32" i="4" s="1"/>
  <c r="AD7" i="4"/>
  <c r="AE4" i="4"/>
  <c r="AE7" i="4"/>
  <c r="AD6" i="4"/>
  <c r="BC16" i="1"/>
  <c r="BC15" i="1"/>
  <c r="BC14" i="1"/>
  <c r="BC13" i="1"/>
  <c r="BC12" i="1"/>
  <c r="BC11" i="1"/>
  <c r="BC10" i="1"/>
  <c r="AV16" i="1"/>
  <c r="AV15" i="1"/>
  <c r="AV14" i="1"/>
  <c r="AV13" i="1"/>
  <c r="AV12" i="1"/>
  <c r="AV11" i="1"/>
  <c r="AV10" i="1"/>
  <c r="AO16" i="1"/>
  <c r="AO15" i="1"/>
  <c r="AO14" i="1"/>
  <c r="AO13" i="1"/>
  <c r="AO12" i="1"/>
  <c r="AO11" i="1"/>
  <c r="AO10" i="1"/>
  <c r="AH16" i="1"/>
  <c r="AH15" i="1"/>
  <c r="AH14" i="1"/>
  <c r="AH13" i="1"/>
  <c r="AH12" i="1"/>
  <c r="AH11" i="1"/>
  <c r="AH10" i="1"/>
  <c r="AA16" i="1"/>
  <c r="AA15" i="1"/>
  <c r="AA14" i="1"/>
  <c r="AA13" i="1"/>
  <c r="AA12" i="1"/>
  <c r="AA11" i="1"/>
  <c r="AA10" i="1"/>
  <c r="T16" i="1"/>
  <c r="T15" i="1"/>
  <c r="T14" i="1"/>
  <c r="T13" i="1"/>
  <c r="T12" i="1"/>
  <c r="T11" i="1"/>
  <c r="T10" i="1"/>
  <c r="M16" i="1"/>
  <c r="M15" i="1"/>
  <c r="M14" i="1"/>
  <c r="M13" i="1"/>
  <c r="M12" i="1"/>
  <c r="M11" i="1"/>
  <c r="M10" i="1"/>
  <c r="F16" i="1"/>
  <c r="F15" i="1"/>
  <c r="F14" i="1"/>
  <c r="F13" i="1"/>
  <c r="F12" i="1"/>
  <c r="F11" i="1"/>
  <c r="F10" i="1"/>
  <c r="A54" i="9" l="1"/>
  <c r="A22" i="4"/>
  <c r="A27" i="4"/>
  <c r="A32" i="4" s="1"/>
  <c r="G32" i="1"/>
  <c r="G36" i="1" s="1"/>
  <c r="BD16" i="1"/>
  <c r="AW16" i="1"/>
  <c r="AP16" i="1"/>
  <c r="AI16" i="1"/>
  <c r="AB16" i="1"/>
  <c r="U16" i="1"/>
  <c r="N16" i="1"/>
  <c r="G16" i="1"/>
  <c r="BD15" i="1"/>
  <c r="AW15" i="1"/>
  <c r="AP15" i="1"/>
  <c r="AI15" i="1"/>
  <c r="AB15" i="1"/>
  <c r="U15" i="1"/>
  <c r="N15" i="1"/>
  <c r="G15" i="1"/>
  <c r="BD14" i="1"/>
  <c r="AW14" i="1"/>
  <c r="AP14" i="1"/>
  <c r="AI14" i="1"/>
  <c r="AB14" i="1"/>
  <c r="U14" i="1"/>
  <c r="N14" i="1"/>
  <c r="G14" i="1"/>
  <c r="BD13" i="1"/>
  <c r="AW13" i="1"/>
  <c r="AP13" i="1"/>
  <c r="AI13" i="1"/>
  <c r="AB13" i="1"/>
  <c r="U13" i="1"/>
  <c r="N13" i="1"/>
  <c r="G13" i="1"/>
  <c r="BD12" i="1"/>
  <c r="AW12" i="1"/>
  <c r="AP12" i="1"/>
  <c r="AI12" i="1"/>
  <c r="AB12" i="1"/>
  <c r="U12" i="1"/>
  <c r="N12" i="1"/>
  <c r="G12" i="1"/>
  <c r="BD11" i="1"/>
  <c r="AW11" i="1"/>
  <c r="AP11" i="1"/>
  <c r="AI11" i="1"/>
  <c r="AB11" i="1"/>
  <c r="U11" i="1"/>
  <c r="N11" i="1"/>
  <c r="G11" i="1"/>
  <c r="BD10" i="1"/>
  <c r="AW10" i="1"/>
  <c r="AP10" i="1"/>
  <c r="AI10" i="1"/>
  <c r="AB10" i="1"/>
  <c r="U10" i="1"/>
  <c r="N10" i="1"/>
  <c r="G10" i="1"/>
  <c r="A55" i="9" l="1"/>
  <c r="E54" i="9"/>
  <c r="I54" i="9"/>
  <c r="N17" i="1"/>
  <c r="N27" i="1"/>
  <c r="AB17" i="1"/>
  <c r="AB27" i="1"/>
  <c r="BD17" i="1"/>
  <c r="BD27" i="1"/>
  <c r="U27" i="1"/>
  <c r="U17" i="1"/>
  <c r="AI27" i="1"/>
  <c r="AI17" i="1"/>
  <c r="AW27" i="1"/>
  <c r="AW17" i="1"/>
  <c r="AP17" i="1"/>
  <c r="AP27" i="1"/>
  <c r="G34" i="1"/>
  <c r="G27" i="1"/>
  <c r="G17" i="1"/>
  <c r="E55" i="9" l="1"/>
  <c r="I55" i="9"/>
  <c r="AP20" i="1"/>
  <c r="AP25" i="1" s="1"/>
  <c r="AP19" i="1"/>
  <c r="AP24" i="1" s="1"/>
  <c r="G45" i="1"/>
  <c r="G49" i="1" s="1"/>
  <c r="AW19" i="1"/>
  <c r="AW24" i="1" s="1"/>
  <c r="AW20" i="1"/>
  <c r="AW25" i="1" s="1"/>
  <c r="AI19" i="1"/>
  <c r="AI24" i="1" s="1"/>
  <c r="AI20" i="1"/>
  <c r="AI25" i="1" s="1"/>
  <c r="U19" i="1"/>
  <c r="U24" i="1" s="1"/>
  <c r="U20" i="1"/>
  <c r="U25" i="1" s="1"/>
  <c r="BD20" i="1"/>
  <c r="BD25" i="1" s="1"/>
  <c r="BD19" i="1"/>
  <c r="BD24" i="1" s="1"/>
  <c r="AB20" i="1"/>
  <c r="AB25" i="1" s="1"/>
  <c r="AB19" i="1"/>
  <c r="AB24" i="1" s="1"/>
  <c r="N20" i="1"/>
  <c r="N25" i="1" s="1"/>
  <c r="N19" i="1"/>
  <c r="N24" i="1" s="1"/>
  <c r="G20" i="1"/>
  <c r="G25" i="1" s="1"/>
  <c r="G19" i="1"/>
  <c r="G24" i="1" s="1"/>
  <c r="E12" i="4" l="1"/>
  <c r="E23" i="9"/>
  <c r="E22" i="9"/>
  <c r="E21" i="9"/>
  <c r="E20" i="9"/>
  <c r="A56" i="9"/>
  <c r="G42" i="1"/>
  <c r="E11" i="4"/>
  <c r="E14" i="4"/>
  <c r="G43" i="1"/>
  <c r="G52" i="1" s="1"/>
  <c r="E13" i="4"/>
  <c r="I56" i="9" l="1"/>
  <c r="E56" i="9"/>
  <c r="G51" i="1"/>
  <c r="G53" i="1" s="1"/>
  <c r="E33" i="9" s="1"/>
  <c r="A57" i="9" l="1"/>
  <c r="N38" i="1"/>
  <c r="G40" i="1"/>
  <c r="E16" i="9" l="1"/>
  <c r="E10" i="9"/>
  <c r="AH29" i="9"/>
  <c r="AH31" i="9" s="1"/>
  <c r="E57" i="9"/>
  <c r="I57" i="9"/>
  <c r="G55" i="1"/>
  <c r="E8" i="9" l="1"/>
  <c r="E12" i="9" s="1"/>
  <c r="E14" i="9" s="1"/>
  <c r="E18" i="9" s="1"/>
  <c r="AH26" i="9" s="1"/>
  <c r="AH30" i="9"/>
  <c r="AH33" i="9" s="1"/>
  <c r="A58" i="9"/>
  <c r="E15" i="4"/>
  <c r="AI26" i="9" l="1"/>
  <c r="AH35" i="9"/>
  <c r="F21" i="9"/>
  <c r="E9" i="4"/>
  <c r="F12" i="4" s="1"/>
  <c r="E26" i="9"/>
  <c r="E41" i="9" s="1"/>
  <c r="L52" i="9" s="1"/>
  <c r="F20" i="9"/>
  <c r="E58" i="9"/>
  <c r="I58" i="9"/>
  <c r="AI35" i="9" l="1"/>
  <c r="AH37" i="9"/>
  <c r="D52" i="9"/>
  <c r="H52" i="9"/>
  <c r="D46" i="9"/>
  <c r="D47" i="9"/>
  <c r="F46" i="9"/>
  <c r="G30" i="9"/>
  <c r="F11" i="4"/>
  <c r="E17" i="4"/>
  <c r="A59" i="9"/>
  <c r="AJ96" i="9" l="1"/>
  <c r="AH96" i="9"/>
  <c r="AF96" i="9"/>
  <c r="AI95" i="9"/>
  <c r="AG95" i="9"/>
  <c r="AE95" i="9"/>
  <c r="AJ94" i="9"/>
  <c r="AH94" i="9"/>
  <c r="AF94" i="9"/>
  <c r="AI93" i="9"/>
  <c r="AG93" i="9"/>
  <c r="AE93" i="9"/>
  <c r="AJ92" i="9"/>
  <c r="AH92" i="9"/>
  <c r="AF92" i="9"/>
  <c r="AI91" i="9"/>
  <c r="AG91" i="9"/>
  <c r="AE91" i="9"/>
  <c r="AJ90" i="9"/>
  <c r="AH90" i="9"/>
  <c r="AF90" i="9"/>
  <c r="AI89" i="9"/>
  <c r="AG89" i="9"/>
  <c r="AE89" i="9"/>
  <c r="AJ88" i="9"/>
  <c r="AH88" i="9"/>
  <c r="AF88" i="9"/>
  <c r="AI87" i="9"/>
  <c r="AG87" i="9"/>
  <c r="AE87" i="9"/>
  <c r="AJ86" i="9"/>
  <c r="AH86" i="9"/>
  <c r="AF86" i="9"/>
  <c r="AI85" i="9"/>
  <c r="AG85" i="9"/>
  <c r="AE85" i="9"/>
  <c r="AJ84" i="9"/>
  <c r="AH84" i="9"/>
  <c r="AF84" i="9"/>
  <c r="AI83" i="9"/>
  <c r="AG83" i="9"/>
  <c r="AE83" i="9"/>
  <c r="AJ82" i="9"/>
  <c r="AH82" i="9"/>
  <c r="AF82" i="9"/>
  <c r="AI81" i="9"/>
  <c r="AG81" i="9"/>
  <c r="AE81" i="9"/>
  <c r="AI80" i="9"/>
  <c r="AG80" i="9"/>
  <c r="AE80" i="9"/>
  <c r="AI79" i="9"/>
  <c r="AG79" i="9"/>
  <c r="AE79" i="9"/>
  <c r="AJ78" i="9"/>
  <c r="AH78" i="9"/>
  <c r="AF78" i="9"/>
  <c r="AI77" i="9"/>
  <c r="AG77" i="9"/>
  <c r="AE77" i="9"/>
  <c r="AI96" i="9"/>
  <c r="AE96" i="9"/>
  <c r="AJ95" i="9"/>
  <c r="AF95" i="9"/>
  <c r="AG94" i="9"/>
  <c r="AH93" i="9"/>
  <c r="AI92" i="9"/>
  <c r="AE92" i="9"/>
  <c r="AJ91" i="9"/>
  <c r="AF91" i="9"/>
  <c r="AG90" i="9"/>
  <c r="AH89" i="9"/>
  <c r="AI88" i="9"/>
  <c r="AE88" i="9"/>
  <c r="AJ87" i="9"/>
  <c r="AF87" i="9"/>
  <c r="AG86" i="9"/>
  <c r="AH85" i="9"/>
  <c r="AI84" i="9"/>
  <c r="AE84" i="9"/>
  <c r="AJ83" i="9"/>
  <c r="AF83" i="9"/>
  <c r="AG82" i="9"/>
  <c r="AJ81" i="9"/>
  <c r="AF81" i="9"/>
  <c r="AH80" i="9"/>
  <c r="AH79" i="9"/>
  <c r="AI78" i="9"/>
  <c r="AE78" i="9"/>
  <c r="AH77" i="9"/>
  <c r="AJ76" i="9"/>
  <c r="AH76" i="9"/>
  <c r="AF76" i="9"/>
  <c r="AJ75" i="9"/>
  <c r="AH75" i="9"/>
  <c r="AF75" i="9"/>
  <c r="AI74" i="9"/>
  <c r="AG74" i="9"/>
  <c r="AE74" i="9"/>
  <c r="AI73" i="9"/>
  <c r="AG73" i="9"/>
  <c r="AE73" i="9"/>
  <c r="AI72" i="9"/>
  <c r="AG72" i="9"/>
  <c r="AE72" i="9"/>
  <c r="AJ71" i="9"/>
  <c r="AH71" i="9"/>
  <c r="AF71" i="9"/>
  <c r="AI70" i="9"/>
  <c r="AG70" i="9"/>
  <c r="AE70" i="9"/>
  <c r="AJ69" i="9"/>
  <c r="AH69" i="9"/>
  <c r="AF69" i="9"/>
  <c r="AI68" i="9"/>
  <c r="AG68" i="9"/>
  <c r="AE68" i="9"/>
  <c r="AJ67" i="9"/>
  <c r="AH67" i="9"/>
  <c r="AF67" i="9"/>
  <c r="AI66" i="9"/>
  <c r="AG66" i="9"/>
  <c r="AE66" i="9"/>
  <c r="AJ65" i="9"/>
  <c r="AH65" i="9"/>
  <c r="AF65" i="9"/>
  <c r="AI64" i="9"/>
  <c r="AG64" i="9"/>
  <c r="AE64" i="9"/>
  <c r="AI63" i="9"/>
  <c r="AG63" i="9"/>
  <c r="AE63" i="9"/>
  <c r="AI62" i="9"/>
  <c r="AG62" i="9"/>
  <c r="AE62" i="9"/>
  <c r="AI61" i="9"/>
  <c r="AG61" i="9"/>
  <c r="AE61" i="9"/>
  <c r="AI60" i="9"/>
  <c r="AG60" i="9"/>
  <c r="AE60" i="9"/>
  <c r="AI59" i="9"/>
  <c r="AG59" i="9"/>
  <c r="AE59" i="9"/>
  <c r="AJ58" i="9"/>
  <c r="AH58" i="9"/>
  <c r="AF58" i="9"/>
  <c r="AI57" i="9"/>
  <c r="AG57" i="9"/>
  <c r="AE57" i="9"/>
  <c r="AJ56" i="9"/>
  <c r="AH56" i="9"/>
  <c r="AF56" i="9"/>
  <c r="AI55" i="9"/>
  <c r="AG55" i="9"/>
  <c r="AE55" i="9"/>
  <c r="AJ54" i="9"/>
  <c r="AH54" i="9"/>
  <c r="AF54" i="9"/>
  <c r="AI53" i="9"/>
  <c r="AG53" i="9"/>
  <c r="AE53" i="9"/>
  <c r="AG96" i="9"/>
  <c r="AH95" i="9"/>
  <c r="AI94" i="9"/>
  <c r="AE94" i="9"/>
  <c r="AJ93" i="9"/>
  <c r="AF93" i="9"/>
  <c r="AG92" i="9"/>
  <c r="AH91" i="9"/>
  <c r="AI90" i="9"/>
  <c r="AE90" i="9"/>
  <c r="AJ89" i="9"/>
  <c r="AF89" i="9"/>
  <c r="AG88" i="9"/>
  <c r="AH87" i="9"/>
  <c r="AI86" i="9"/>
  <c r="AE86" i="9"/>
  <c r="AJ85" i="9"/>
  <c r="AF85" i="9"/>
  <c r="AG84" i="9"/>
  <c r="AH83" i="9"/>
  <c r="AI82" i="9"/>
  <c r="AH81" i="9"/>
  <c r="AF80" i="9"/>
  <c r="AF79" i="9"/>
  <c r="AG78" i="9"/>
  <c r="AF77" i="9"/>
  <c r="AI76" i="9"/>
  <c r="AE76" i="9"/>
  <c r="AI75" i="9"/>
  <c r="AE75" i="9"/>
  <c r="AH74" i="9"/>
  <c r="AJ73" i="9"/>
  <c r="AF73" i="9"/>
  <c r="AJ72" i="9"/>
  <c r="AF72" i="9"/>
  <c r="AG71" i="9"/>
  <c r="AH70" i="9"/>
  <c r="AI69" i="9"/>
  <c r="AE69" i="9"/>
  <c r="AJ68" i="9"/>
  <c r="AF68" i="9"/>
  <c r="AG67" i="9"/>
  <c r="AH66" i="9"/>
  <c r="AI65" i="9"/>
  <c r="AE65" i="9"/>
  <c r="AH64" i="9"/>
  <c r="AJ63" i="9"/>
  <c r="AF63" i="9"/>
  <c r="AH62" i="9"/>
  <c r="AJ61" i="9"/>
  <c r="AF61" i="9"/>
  <c r="AH60" i="9"/>
  <c r="AH59" i="9"/>
  <c r="AI58" i="9"/>
  <c r="AE58" i="9"/>
  <c r="AJ57" i="9"/>
  <c r="AF57" i="9"/>
  <c r="AG56" i="9"/>
  <c r="AH55" i="9"/>
  <c r="AI54" i="9"/>
  <c r="AE54" i="9"/>
  <c r="AJ53" i="9"/>
  <c r="AF53" i="9"/>
  <c r="AE82" i="9"/>
  <c r="AJ80" i="9"/>
  <c r="AJ79" i="9"/>
  <c r="AJ77" i="9"/>
  <c r="AG76" i="9"/>
  <c r="AG75" i="9"/>
  <c r="AJ74" i="9"/>
  <c r="AF74" i="9"/>
  <c r="AH73" i="9"/>
  <c r="AH72" i="9"/>
  <c r="AI71" i="9"/>
  <c r="AE71" i="9"/>
  <c r="AJ70" i="9"/>
  <c r="AF70" i="9"/>
  <c r="AG69" i="9"/>
  <c r="AH68" i="9"/>
  <c r="AI67" i="9"/>
  <c r="AE67" i="9"/>
  <c r="AJ66" i="9"/>
  <c r="AF66" i="9"/>
  <c r="AG65" i="9"/>
  <c r="AJ64" i="9"/>
  <c r="AF64" i="9"/>
  <c r="AH63" i="9"/>
  <c r="AJ62" i="9"/>
  <c r="AF62" i="9"/>
  <c r="AH61" i="9"/>
  <c r="AJ60" i="9"/>
  <c r="AF60" i="9"/>
  <c r="AJ59" i="9"/>
  <c r="AF59" i="9"/>
  <c r="AG58" i="9"/>
  <c r="AH57" i="9"/>
  <c r="AI56" i="9"/>
  <c r="AE56" i="9"/>
  <c r="AJ55" i="9"/>
  <c r="AF55" i="9"/>
  <c r="AG54" i="9"/>
  <c r="AH53" i="9"/>
  <c r="B53" i="9"/>
  <c r="G37" i="9"/>
  <c r="G39" i="9" s="1"/>
  <c r="E43" i="9" s="1"/>
  <c r="E45" i="9" s="1"/>
  <c r="J27" i="4"/>
  <c r="K27" i="4" s="1"/>
  <c r="J23" i="4"/>
  <c r="K23" i="4" s="1"/>
  <c r="J33" i="4"/>
  <c r="K33" i="4" s="1"/>
  <c r="J32" i="4"/>
  <c r="K32" i="4" s="1"/>
  <c r="J22" i="4"/>
  <c r="K22" i="4" s="1"/>
  <c r="J28" i="4"/>
  <c r="K28" i="4" s="1"/>
  <c r="E59" i="9"/>
  <c r="I59" i="9"/>
  <c r="J59" i="9"/>
  <c r="J54" i="9"/>
  <c r="J58" i="9"/>
  <c r="J55" i="9"/>
  <c r="J56" i="9"/>
  <c r="J57" i="9"/>
  <c r="F54" i="9"/>
  <c r="F58" i="9"/>
  <c r="F56" i="9"/>
  <c r="F55" i="9"/>
  <c r="F57" i="9"/>
  <c r="J53" i="9"/>
  <c r="B54" i="9"/>
  <c r="B58" i="9"/>
  <c r="B55" i="9"/>
  <c r="B56" i="9"/>
  <c r="B57" i="9"/>
  <c r="F53" i="9"/>
  <c r="C56" i="9" l="1"/>
  <c r="AH36" i="9"/>
  <c r="K60" i="9"/>
  <c r="K55" i="9"/>
  <c r="K54" i="9"/>
  <c r="K59" i="9"/>
  <c r="K53" i="9"/>
  <c r="K57" i="9"/>
  <c r="K56" i="9"/>
  <c r="K58" i="9"/>
  <c r="G55" i="9"/>
  <c r="G58" i="9"/>
  <c r="C54" i="9"/>
  <c r="C59" i="9"/>
  <c r="G53" i="9"/>
  <c r="G57" i="9"/>
  <c r="G56" i="9"/>
  <c r="C58" i="9"/>
  <c r="G59" i="9"/>
  <c r="G54" i="9"/>
  <c r="C57" i="9"/>
  <c r="C55" i="9"/>
  <c r="C53" i="9"/>
  <c r="C60" i="9"/>
  <c r="G60" i="9"/>
  <c r="F43" i="9"/>
  <c r="F59" i="9"/>
  <c r="A60" i="9"/>
  <c r="B59" i="9"/>
  <c r="AH39" i="9" l="1"/>
  <c r="C61" i="9"/>
  <c r="K61" i="9"/>
  <c r="G61" i="9"/>
  <c r="AH42" i="9"/>
  <c r="F45" i="9"/>
  <c r="I60" i="9"/>
  <c r="E60" i="9"/>
  <c r="J60" i="9"/>
  <c r="F60" i="9"/>
  <c r="B60" i="9"/>
  <c r="A61" i="9"/>
  <c r="AI42" i="9" l="1"/>
  <c r="AJ42" i="9"/>
  <c r="G62" i="9"/>
  <c r="C62" i="9"/>
  <c r="K62" i="9"/>
  <c r="E61" i="9"/>
  <c r="I61" i="9"/>
  <c r="A62" i="9"/>
  <c r="F61" i="9"/>
  <c r="J61" i="9"/>
  <c r="B61" i="9"/>
  <c r="L96" i="9" l="1"/>
  <c r="L92" i="9"/>
  <c r="L88" i="9"/>
  <c r="L84" i="9"/>
  <c r="L80" i="9"/>
  <c r="L76" i="9"/>
  <c r="L72" i="9"/>
  <c r="L68" i="9"/>
  <c r="L64" i="9"/>
  <c r="L60" i="9"/>
  <c r="L56" i="9"/>
  <c r="L95" i="9"/>
  <c r="L91" i="9"/>
  <c r="L87" i="9"/>
  <c r="L83" i="9"/>
  <c r="L79" i="9"/>
  <c r="L75" i="9"/>
  <c r="L71" i="9"/>
  <c r="L67" i="9"/>
  <c r="L63" i="9"/>
  <c r="L59" i="9"/>
  <c r="L55" i="9"/>
  <c r="L94" i="9"/>
  <c r="L90" i="9"/>
  <c r="L86" i="9"/>
  <c r="L82" i="9"/>
  <c r="L78" i="9"/>
  <c r="L74" i="9"/>
  <c r="L70" i="9"/>
  <c r="L66" i="9"/>
  <c r="L62" i="9"/>
  <c r="L58" i="9"/>
  <c r="L54" i="9"/>
  <c r="L93" i="9"/>
  <c r="L89" i="9"/>
  <c r="L85" i="9"/>
  <c r="L81" i="9"/>
  <c r="L77" i="9"/>
  <c r="L73" i="9"/>
  <c r="L69" i="9"/>
  <c r="L65" i="9"/>
  <c r="L61" i="9"/>
  <c r="L57" i="9"/>
  <c r="L53" i="9"/>
  <c r="H54" i="9"/>
  <c r="H58" i="9"/>
  <c r="H62" i="9"/>
  <c r="H66" i="9"/>
  <c r="H70" i="9"/>
  <c r="H74" i="9"/>
  <c r="H78" i="9"/>
  <c r="H82" i="9"/>
  <c r="H86" i="9"/>
  <c r="H90" i="9"/>
  <c r="H94" i="9"/>
  <c r="H55" i="9"/>
  <c r="H59" i="9"/>
  <c r="H63" i="9"/>
  <c r="H67" i="9"/>
  <c r="H71" i="9"/>
  <c r="H75" i="9"/>
  <c r="H79" i="9"/>
  <c r="H83" i="9"/>
  <c r="H87" i="9"/>
  <c r="H91" i="9"/>
  <c r="H95" i="9"/>
  <c r="H56" i="9"/>
  <c r="H60" i="9"/>
  <c r="H64" i="9"/>
  <c r="H68" i="9"/>
  <c r="H72" i="9"/>
  <c r="H76" i="9"/>
  <c r="H80" i="9"/>
  <c r="H84" i="9"/>
  <c r="H88" i="9"/>
  <c r="H92" i="9"/>
  <c r="H96" i="9"/>
  <c r="H57" i="9"/>
  <c r="H61" i="9"/>
  <c r="H65" i="9"/>
  <c r="H69" i="9"/>
  <c r="H73" i="9"/>
  <c r="H77" i="9"/>
  <c r="H81" i="9"/>
  <c r="H85" i="9"/>
  <c r="H89" i="9"/>
  <c r="H93" i="9"/>
  <c r="E47" i="9"/>
  <c r="H53" i="9"/>
  <c r="D54" i="9"/>
  <c r="D58" i="9"/>
  <c r="D62" i="9"/>
  <c r="D66" i="9"/>
  <c r="D70" i="9"/>
  <c r="D74" i="9"/>
  <c r="D78" i="9"/>
  <c r="D82" i="9"/>
  <c r="D86" i="9"/>
  <c r="D90" i="9"/>
  <c r="D94" i="9"/>
  <c r="D55" i="9"/>
  <c r="D59" i="9"/>
  <c r="D63" i="9"/>
  <c r="D67" i="9"/>
  <c r="D71" i="9"/>
  <c r="D75" i="9"/>
  <c r="D79" i="9"/>
  <c r="D83" i="9"/>
  <c r="D87" i="9"/>
  <c r="D91" i="9"/>
  <c r="D95" i="9"/>
  <c r="D56" i="9"/>
  <c r="D60" i="9"/>
  <c r="D64" i="9"/>
  <c r="D68" i="9"/>
  <c r="D72" i="9"/>
  <c r="D76" i="9"/>
  <c r="D80" i="9"/>
  <c r="D84" i="9"/>
  <c r="D88" i="9"/>
  <c r="D92" i="9"/>
  <c r="D96" i="9"/>
  <c r="D57" i="9"/>
  <c r="D61" i="9"/>
  <c r="D65" i="9"/>
  <c r="D69" i="9"/>
  <c r="D73" i="9"/>
  <c r="D77" i="9"/>
  <c r="D81" i="9"/>
  <c r="D85" i="9"/>
  <c r="D89" i="9"/>
  <c r="D93" i="9"/>
  <c r="D53" i="9"/>
  <c r="E46" i="9"/>
  <c r="C63" i="9"/>
  <c r="K63" i="9"/>
  <c r="G63" i="9"/>
  <c r="E62" i="9"/>
  <c r="I62" i="9"/>
  <c r="F62" i="9"/>
  <c r="B62" i="9"/>
  <c r="J62" i="9"/>
  <c r="A63" i="9"/>
  <c r="K64" i="9" l="1"/>
  <c r="G64" i="9"/>
  <c r="C64" i="9"/>
  <c r="E63" i="9"/>
  <c r="I63" i="9"/>
  <c r="A64" i="9"/>
  <c r="J63" i="9"/>
  <c r="B63" i="9"/>
  <c r="F63" i="9"/>
  <c r="J64" i="9" l="1"/>
  <c r="F64" i="9"/>
  <c r="B64" i="9"/>
  <c r="E64" i="9"/>
  <c r="I64" i="9"/>
  <c r="A65" i="9" l="1"/>
  <c r="K65" i="9"/>
  <c r="G65" i="9"/>
  <c r="C65" i="9"/>
  <c r="E65" i="9"/>
  <c r="I65" i="9"/>
  <c r="J65" i="9" l="1"/>
  <c r="F65" i="9"/>
  <c r="B65" i="9"/>
  <c r="A66" i="9" l="1"/>
  <c r="E66" i="9" s="1"/>
  <c r="G66" i="9"/>
  <c r="C66" i="9"/>
  <c r="K66" i="9"/>
  <c r="I66" i="9" l="1"/>
  <c r="J66" i="9"/>
  <c r="F66" i="9"/>
  <c r="B66" i="9"/>
  <c r="A67" i="9" l="1"/>
  <c r="I67" i="9" s="1"/>
  <c r="K67" i="9"/>
  <c r="C67" i="9"/>
  <c r="G67" i="9"/>
  <c r="E67" i="9"/>
  <c r="F67" i="9" l="1"/>
  <c r="J67" i="9"/>
  <c r="B67" i="9"/>
  <c r="A68" i="9" l="1"/>
  <c r="E68" i="9" s="1"/>
  <c r="K68" i="9"/>
  <c r="G68" i="9"/>
  <c r="C68" i="9"/>
  <c r="I68" i="9" l="1"/>
  <c r="F68" i="9"/>
  <c r="J68" i="9"/>
  <c r="B68" i="9"/>
  <c r="A69" i="9" l="1"/>
  <c r="I69" i="9" s="1"/>
  <c r="G69" i="9"/>
  <c r="K69" i="9"/>
  <c r="C69" i="9"/>
  <c r="E69" i="9"/>
  <c r="B69" i="9" l="1"/>
  <c r="J69" i="9"/>
  <c r="F69" i="9"/>
  <c r="A70" i="9" l="1"/>
  <c r="E70" i="9" s="1"/>
  <c r="K70" i="9"/>
  <c r="G70" i="9"/>
  <c r="C70" i="9"/>
  <c r="I70" i="9" l="1"/>
  <c r="F70" i="9"/>
  <c r="B70" i="9"/>
  <c r="J70" i="9"/>
  <c r="A71" i="9" l="1"/>
  <c r="I71" i="9" s="1"/>
  <c r="G71" i="9"/>
  <c r="K71" i="9"/>
  <c r="C71" i="9"/>
  <c r="E71" i="9" l="1"/>
  <c r="J71" i="9"/>
  <c r="B71" i="9"/>
  <c r="F71" i="9"/>
  <c r="A72" i="9" l="1"/>
  <c r="I72" i="9" s="1"/>
  <c r="K72" i="9"/>
  <c r="G72" i="9"/>
  <c r="C72" i="9"/>
  <c r="G73" i="9" l="1"/>
  <c r="K73" i="9"/>
  <c r="C73" i="9"/>
  <c r="E72" i="9"/>
  <c r="B72" i="9"/>
  <c r="F72" i="9"/>
  <c r="J72" i="9"/>
  <c r="A73" i="9"/>
  <c r="K74" i="9" l="1"/>
  <c r="G74" i="9"/>
  <c r="C74" i="9"/>
  <c r="B73" i="9"/>
  <c r="J73" i="9"/>
  <c r="F73" i="9"/>
  <c r="E73" i="9"/>
  <c r="I73" i="9"/>
  <c r="A74" i="9"/>
  <c r="E74" i="9" l="1"/>
  <c r="I74" i="9"/>
  <c r="F74" i="9"/>
  <c r="B74" i="9"/>
  <c r="J74" i="9"/>
  <c r="A75" i="9" l="1"/>
  <c r="I75" i="9" s="1"/>
  <c r="K75" i="9"/>
  <c r="G75" i="9"/>
  <c r="C75" i="9"/>
  <c r="E75" i="9" l="1"/>
  <c r="C76" i="9"/>
  <c r="K76" i="9"/>
  <c r="G76" i="9"/>
  <c r="J75" i="9"/>
  <c r="B75" i="9"/>
  <c r="F75" i="9"/>
  <c r="A76" i="9"/>
  <c r="C77" i="9" l="1"/>
  <c r="K77" i="9"/>
  <c r="G77" i="9"/>
  <c r="I76" i="9"/>
  <c r="E76" i="9"/>
  <c r="J76" i="9"/>
  <c r="F76" i="9"/>
  <c r="B76" i="9"/>
  <c r="A77" i="9"/>
  <c r="F77" i="9" l="1"/>
  <c r="B77" i="9"/>
  <c r="J77" i="9"/>
  <c r="E77" i="9"/>
  <c r="I77" i="9"/>
  <c r="K78" i="9" l="1"/>
  <c r="G78" i="9"/>
  <c r="C78" i="9"/>
  <c r="A78" i="9"/>
  <c r="I78" i="9" s="1"/>
  <c r="E78" i="9" l="1"/>
  <c r="F78" i="9"/>
  <c r="B78" i="9"/>
  <c r="J78" i="9"/>
  <c r="K79" i="9" l="1"/>
  <c r="G79" i="9"/>
  <c r="C79" i="9"/>
  <c r="A79" i="9"/>
  <c r="K80" i="9" l="1"/>
  <c r="G80" i="9"/>
  <c r="C80" i="9"/>
  <c r="E79" i="9"/>
  <c r="I79" i="9"/>
  <c r="J79" i="9"/>
  <c r="B79" i="9"/>
  <c r="F79" i="9"/>
  <c r="A80" i="9"/>
  <c r="G81" i="9" l="1"/>
  <c r="K81" i="9"/>
  <c r="C81" i="9"/>
  <c r="A81" i="9"/>
  <c r="J80" i="9"/>
  <c r="B80" i="9"/>
  <c r="F80" i="9"/>
  <c r="I80" i="9"/>
  <c r="E80" i="9"/>
  <c r="E81" i="9" l="1"/>
  <c r="I81" i="9"/>
  <c r="J81" i="9"/>
  <c r="B81" i="9"/>
  <c r="F81" i="9"/>
  <c r="K82" i="9" l="1"/>
  <c r="C82" i="9"/>
  <c r="G82" i="9"/>
  <c r="A82" i="9"/>
  <c r="E82" i="9" l="1"/>
  <c r="I82" i="9"/>
  <c r="J82" i="9"/>
  <c r="F82" i="9"/>
  <c r="B82" i="9"/>
  <c r="G83" i="9" l="1"/>
  <c r="K83" i="9"/>
  <c r="C83" i="9"/>
  <c r="A83" i="9"/>
  <c r="E83" i="9" l="1"/>
  <c r="I83" i="9"/>
  <c r="F83" i="9"/>
  <c r="J83" i="9"/>
  <c r="B83" i="9"/>
  <c r="K84" i="9" l="1"/>
  <c r="C84" i="9"/>
  <c r="G84" i="9"/>
  <c r="A84" i="9"/>
  <c r="I84" i="9" l="1"/>
  <c r="E84" i="9"/>
  <c r="J84" i="9"/>
  <c r="F84" i="9"/>
  <c r="B84" i="9"/>
  <c r="G85" i="9" l="1"/>
  <c r="C85" i="9"/>
  <c r="K85" i="9"/>
  <c r="A85" i="9"/>
  <c r="E85" i="9" l="1"/>
  <c r="I85" i="9"/>
  <c r="J85" i="9"/>
  <c r="F85" i="9"/>
  <c r="B85" i="9"/>
  <c r="K86" i="9" l="1"/>
  <c r="G86" i="9"/>
  <c r="C86" i="9"/>
  <c r="A86" i="9"/>
  <c r="E86" i="9" l="1"/>
  <c r="I86" i="9"/>
  <c r="F86" i="9"/>
  <c r="B86" i="9"/>
  <c r="J86" i="9"/>
  <c r="G87" i="9" l="1"/>
  <c r="K87" i="9"/>
  <c r="C87" i="9"/>
  <c r="A87" i="9"/>
  <c r="E87" i="9" l="1"/>
  <c r="I87" i="9"/>
  <c r="J87" i="9"/>
  <c r="B87" i="9"/>
  <c r="F87" i="9"/>
  <c r="A88" i="9" l="1"/>
  <c r="I88" i="9" s="1"/>
  <c r="K88" i="9"/>
  <c r="G88" i="9"/>
  <c r="C88" i="9"/>
  <c r="E88" i="9" l="1"/>
  <c r="F88" i="9"/>
  <c r="B88" i="9"/>
  <c r="J88" i="9"/>
  <c r="K89" i="9" l="1"/>
  <c r="C89" i="9"/>
  <c r="G89" i="9"/>
  <c r="A89" i="9"/>
  <c r="E89" i="9" l="1"/>
  <c r="I89" i="9"/>
  <c r="F89" i="9"/>
  <c r="J89" i="9"/>
  <c r="B89" i="9"/>
  <c r="G90" i="9" l="1"/>
  <c r="K90" i="9"/>
  <c r="C90" i="9"/>
  <c r="A90" i="9"/>
  <c r="E90" i="9" l="1"/>
  <c r="I90" i="9"/>
  <c r="F90" i="9"/>
  <c r="B90" i="9"/>
  <c r="J90" i="9"/>
  <c r="A91" i="9" l="1"/>
  <c r="I91" i="9" s="1"/>
  <c r="K91" i="9"/>
  <c r="G91" i="9"/>
  <c r="C91" i="9"/>
  <c r="E91" i="9"/>
  <c r="J91" i="9" l="1"/>
  <c r="B91" i="9"/>
  <c r="F91" i="9"/>
  <c r="C92" i="9" l="1"/>
  <c r="G92" i="9"/>
  <c r="K92" i="9"/>
  <c r="A92" i="9"/>
  <c r="I92" i="9" s="1"/>
  <c r="E92" i="9" l="1"/>
  <c r="J92" i="9"/>
  <c r="B92" i="9"/>
  <c r="F92" i="9"/>
  <c r="A93" i="9" l="1"/>
  <c r="I93" i="9" s="1"/>
  <c r="C93" i="9"/>
  <c r="K93" i="9"/>
  <c r="G93" i="9"/>
  <c r="E93" i="9" l="1"/>
  <c r="F93" i="9"/>
  <c r="J93" i="9"/>
  <c r="B93" i="9"/>
  <c r="A94" i="9" l="1"/>
  <c r="I94" i="9" s="1"/>
  <c r="K94" i="9"/>
  <c r="G94" i="9"/>
  <c r="C94" i="9"/>
  <c r="E94" i="9" l="1"/>
  <c r="F94" i="9"/>
  <c r="B94" i="9"/>
  <c r="J94" i="9"/>
  <c r="A95" i="9" l="1"/>
  <c r="I95" i="9" s="1"/>
  <c r="C95" i="9"/>
  <c r="K95" i="9"/>
  <c r="G95" i="9"/>
  <c r="E95" i="9"/>
  <c r="A96" i="9" l="1"/>
  <c r="J95" i="9"/>
  <c r="B95" i="9"/>
  <c r="F95" i="9"/>
  <c r="K96" i="9" l="1"/>
  <c r="G96" i="9"/>
  <c r="C96" i="9"/>
  <c r="J96" i="9"/>
  <c r="F96" i="9"/>
  <c r="B96" i="9"/>
  <c r="E96" i="9"/>
  <c r="I9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00000000-0006-0000-0000-00003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00000000-0006-0000-0000-00003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00000000-0006-0000-0000-00003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00000000-0006-0000-0000-00003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00000000-0006-0000-0000-00003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00000000-0006-0000-0000-00003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00000000-0006-0000-0000-00003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00000000-0006-0000-0000-00003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00000000-0006-0000-0000-00003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00000000-0006-0000-0000-00004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00000000-0006-0000-0000-00004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00000000-0006-0000-0000-00004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00000000-0006-0000-0000-00004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00000000-0006-0000-0000-00004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00000000-0006-0000-0000-00004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00000000-0006-0000-0000-00004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00000000-0006-0000-0000-00004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00000000-0006-0000-0000-00004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00000000-0006-0000-0000-00004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00000000-0006-0000-0000-00004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00000000-0006-0000-0000-00004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00000000-0006-0000-0000-00004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00000000-0006-0000-0000-00004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00000000-0006-0000-0000-00004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00000000-0006-0000-0000-00004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00000000-0006-0000-0000-00005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00000000-0006-0000-0000-00005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00000000-0006-0000-0000-00005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00000000-0006-0000-0000-00005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00000000-0006-0000-0000-00005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0000000-0006-0000-0000-00005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00000000-0006-0000-0000-00005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00000000-0006-0000-0000-00005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00000000-0006-0000-0000-00005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00000000-0006-0000-0000-00005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00000000-0006-0000-0000-00005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00000000-0006-0000-0000-00005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00000000-0006-0000-0000-00005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00000000-0006-0000-0000-00005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00000000-0006-0000-0000-00005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00000000-0006-0000-0000-00005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00000000-0006-0000-0000-00006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00000000-0006-0000-0000-00006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00000000-0006-0000-0000-00006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00000000-0006-0000-0000-00006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00000000-0006-0000-0000-00006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00000000-0006-0000-0000-00006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00000000-0006-0000-0000-00006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00000000-0006-0000-0000-00006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00000000-0006-0000-0000-00006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00000000-0006-0000-0000-00006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00000000-0006-0000-0000-00006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00000000-0006-0000-0000-00006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00000000-0006-0000-0000-00006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00000000-0006-0000-0000-00006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00000000-0006-0000-0000-00006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00000000-0006-0000-0000-00006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00000000-0006-0000-0000-00007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00000000-0006-0000-0000-00007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00000000-0006-0000-0000-00007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00000000-0006-0000-0000-00007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00000000-0006-0000-0000-00007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00000000-0006-0000-0000-00007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00000000-0006-0000-0000-00007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00000000-0006-0000-0000-00007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00000000-0006-0000-0000-00007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00000000-0006-0000-0000-00007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00000000-0006-0000-0000-00007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00000000-0006-0000-0000-00007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00000000-0006-0000-0000-00007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00000000-0006-0000-0000-00007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00000000-0006-0000-0000-00007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00000000-0006-0000-0000-00007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00000000-0006-0000-0000-00008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00000000-0006-0000-0000-00008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00000000-0006-0000-0000-00008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00000000-0006-0000-0000-00008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00000000-0006-0000-0000-00008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00000000-0006-0000-0000-00008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00000000-0006-0000-0000-00008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00000000-0006-0000-0000-00008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00000000-0006-0000-0000-00008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00000000-0006-0000-0000-00008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00000000-0006-0000-0000-00008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00000000-0006-0000-0000-00008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00000000-0006-0000-0000-00008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00000000-0006-0000-0000-00008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00000000-0006-0000-0000-00008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00000000-0006-0000-0000-00008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00000000-0006-0000-0000-00009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00000000-0006-0000-0000-00009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00000000-0006-0000-0000-00009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00000000-0006-0000-0000-00009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00000000-0006-0000-0000-00009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00000000-0006-0000-0000-00009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00000000-0006-0000-0000-00009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00000000-0006-0000-0000-00009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00000000-0006-0000-0000-00009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00000000-0006-0000-0000-00009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00000000-0006-0000-0000-00009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00000000-0006-0000-0000-00009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00000000-0006-0000-0000-00009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00000000-0006-0000-0000-00009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00000000-0006-0000-0000-00009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00000000-0006-0000-0000-00009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00000000-0006-0000-0000-0000A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00000000-0006-0000-0000-0000A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00000000-0006-0000-0000-0000A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00000000-0006-0000-0000-0000A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00000000-0006-0000-0000-0000A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00000000-0006-0000-0000-0000A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00000000-0006-0000-0000-0000A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00000000-0006-0000-0000-0000A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00000000-0006-0000-0000-0000A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00000000-0006-0000-0000-0000A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00000000-0006-0000-0000-0000A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00000000-0006-0000-0000-0000A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00000000-0006-0000-0000-0000A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00000000-0006-0000-0000-0000A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00000000-0006-0000-0000-0000A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00000000-0006-0000-0000-0000A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00000000-0006-0000-0000-0000B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00000000-0006-0000-0000-0000B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00000000-0006-0000-0000-0000B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00000000-0006-0000-0000-0000B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00000000-0006-0000-0000-0000B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00000000-0006-0000-0000-0000B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00000000-0006-0000-0000-0000B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00000000-0006-0000-0000-0000B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00000000-0006-0000-0000-0000B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00000000-0006-0000-0000-0000B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00000000-0006-0000-0000-0000B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00000000-0006-0000-0000-0000B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00000000-0006-0000-0000-0000B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00000000-0006-0000-0000-0000B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00000000-0006-0000-0000-0000B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00000000-0006-0000-0000-0000B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00000000-0006-0000-0000-0000C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00000000-0006-0000-0000-0000C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00000000-0006-0000-0000-0000C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00000000-0006-0000-0000-0000C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00000000-0006-0000-0000-0000C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00000000-0006-0000-0000-0000C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00000000-0006-0000-0000-0000C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00000000-0006-0000-0000-0000C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00000000-0006-0000-0000-0000C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00000000-0006-0000-0000-0000C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00000000-0006-0000-0000-0000C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00000000-0006-0000-0000-0000C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00000000-0006-0000-0000-0000C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00000000-0006-0000-0000-0000C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00000000-0006-0000-0000-0000C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00000000-0006-0000-0000-0000C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00000000-0006-0000-0000-0000D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00000000-0006-0000-0000-0000D1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00000000-0006-0000-0000-0000D2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00000000-0006-0000-0000-0000D3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00000000-0006-0000-0000-0000D4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00000000-0006-0000-0000-0000D5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00000000-0006-0000-0000-0000D6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00000000-0006-0000-0000-0000D7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00000000-0006-0000-0000-0000D8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00000000-0006-0000-0000-0000D9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00000000-0006-0000-0000-0000DA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00000000-0006-0000-0000-0000DB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00000000-0006-0000-0000-0000DC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00000000-0006-0000-0000-0000DD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00000000-0006-0000-0000-0000DE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00000000-0006-0000-0000-0000DF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00000000-0006-0000-0000-0000E0000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00000000-0006-0000-0000-0000E1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00000000-0006-0000-0000-0000E2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00000000-0006-0000-0000-0000E3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00000000-0006-0000-0000-0000E4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00000000-0006-0000-0000-0000E5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00000000-0006-0000-0000-0000E6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00000000-0006-0000-0000-0000E7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00000000-0006-0000-0000-0000E8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00000000-0006-0000-0000-0000E90000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98D72066-BC39-4D57-BB18-F65DD3DAC6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6D03C04D-783D-4DD6-BD88-EE97A80CA9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024CABA0-8832-49D2-BCEF-89732C0240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5B53E620-00DF-4D00-A99E-AFB59F6C2C9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82F403E7-ED9E-4FE4-84B0-6AC02279AD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CB08EB23-2676-42C6-AF7B-163CA42803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8A0936FC-3254-4966-9D14-2A71224027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A4552C04-6491-4AB7-8D3A-EF421589448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7CC4AB40-13A2-4C33-94CD-80F1E8B798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ED02642F-A355-48C6-A689-35BB44340C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8F516EF8-50E2-4B40-A3DB-78D1150EAA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74A51666-7974-4733-88B7-49DD22C040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DD1BABA9-B5B4-4382-A9F5-01DAF09A7F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951D22CD-FEFB-4387-B89E-8DE798D610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960FEFA1-F91F-48B7-BF34-B0B091FEA93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15B0000C-336E-4ED3-BD78-47716990771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F696A3BC-74F9-4169-9CF1-CADA21BA56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EE76227B-3A96-4F92-8862-CA68EC8F88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A46B887F-0B77-4B28-BA35-A62F500C04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D8E31E14-AE2F-4C0D-AE23-CC2C1ABC83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3B606BF5-2AB6-477E-A93B-A3EEC72657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069A7DFF-C0D1-45A9-9B62-49E3EF0212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AA89FF2C-10B8-4F75-8499-B96CB5188E4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473827AF-D2FD-42DF-BAD9-ED1498F2E2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C07A136C-81BC-4253-9FD4-9A4B6819C1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F462089D-3655-404D-AC35-3C662F06E82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44EE22C1-85F9-4396-A896-8115F11374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1523ADCA-0D5C-4C82-A199-6E0B0C3CDD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08750A6C-0FC4-4B4F-BEF8-1754B1AB856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4CAA155A-AA20-48AA-942B-FE0F948F7F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6166CEC2-7432-4550-926D-A27471C77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F719CE0C-DF20-4D3B-B529-35ABC988F7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E5912461-2A7D-45C9-A452-DA8C1B9565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D575FE90-72A1-4392-887B-B55C8369A4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A9A6A343-30F3-46D5-BA63-E3F3EB0BEC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14538FE1-59EC-4D3C-B851-36ECBFE91B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83280171-741F-48B0-8555-53D623A8F5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3D6FEC8F-1DB8-4472-936E-DCA2BA9A43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1B2059E1-7016-436B-98DC-50076D13217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29BDCD63-28B8-4DC5-B9EF-91BAC66433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6113F875-695D-43FC-BA5F-31ED52BBFD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C7DCC77D-5619-4C34-BCBC-5743F8D1A1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8D8C54E8-64F5-45C7-9AAA-355F2D01FE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715BE3C8-7141-473F-BA4C-FA0AF8E57C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18A48CFB-6F83-4E6B-92FD-D81EE86676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A79434B6-B0F4-464A-B58E-6CDCF7503B2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F154664D-894D-4DAA-8393-2101E3B0F1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BF763ABD-52CD-4E4E-B740-D8335ED2A0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FB52C00C-B59F-4F2E-AC75-11C5508F10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E54D1ACD-2ED7-4E95-9DED-8000D05F7C0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B8E2A4CB-98A4-435B-A8D5-AC5C16E11A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89A8DEB8-EFF3-4E4E-9BBD-9C9E08A65A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5CE466CA-DE64-4188-A74A-DB13C0E3EE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3583624C-0C25-42BB-9F46-BEA6B4587F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0F9054F4-F291-4332-B21B-98DCAAFB8E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167EDE5F-A81F-45EC-ACC2-57B16A63563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602E61E3-5E66-412A-9480-D4CC8743E0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4B1E38C2-BCF0-4ABB-A5FF-F47F7E2537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56B78E62-95B2-48AF-BFF4-C4B55D47D0A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62BC575E-8C33-4980-B608-7BD07D240B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49BB2C6A-7DEC-465A-81F5-9E020120DD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F55609E9-8D85-41E8-B33E-485915D7CB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DE975918-F743-491B-A62F-9ABD685928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FFD14722-7A13-4B65-9521-0DC070A18D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5FF82BE2-0715-421E-8445-9A25AD15F3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4A1A81A6-8B32-4CA4-B76F-56D5234B6F3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01AAB8B0-840B-4D25-8BBA-9182665514D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617CA288-B0BD-4895-895E-68A7BF9D72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27921D9E-6CE7-45A6-9616-8FA6E9FB09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68D38658-5526-4538-8E55-C78A35F8AE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38ECEA08-2A32-4473-85BD-A20300736C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5EA7191D-14D5-4BD1-A941-3615AA77354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DA1FDE4E-EA1F-4066-8074-FADF46C5B15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DB7B1D23-2B69-45A3-BDBC-E347B50644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3D227DD4-81A2-40D9-BFC0-8C0B1B31B2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C787CD90-CD42-487C-9DF8-BB9142811E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B0B2E46B-7B89-4D5D-A10F-6B59F3CCBB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D1F1D6EC-DFB9-4E2F-AEBA-C85F1686C7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49D7AD58-4474-4988-9F05-A76B12DBC8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2AD961BB-B11F-44E0-B1B0-24243839C8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C4D3D34B-FB8A-4827-A0E9-C331CFDD6B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A24E919F-7757-473F-8D34-E4C1942EFB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81AC7C9B-42D7-4ED2-8398-C396EE5AA50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87D4A635-8BF6-4E86-9180-68CCEFDBFAC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9BE92C5-24F5-4353-BC95-6E6F83F269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A63BD7E3-4A62-402B-BD0B-2448035F1B3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629D4B3B-1682-4108-BE1D-7210560404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0C7FAF6C-94B6-4D28-8B18-7A6E95A8BD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A0ECA811-BC8E-4820-981F-936D891D466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D2FA1E38-EFE0-43D4-A6AD-44005BFADB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E6785E5F-718A-45D8-852B-89B1E8930C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A6C06A14-2E2A-4B69-9D87-F0CECF804C2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AE56D19D-1302-43B1-B0EC-97A31E5CE85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4715E0B4-A62A-4FCA-A014-FD2D4A2989E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A477040A-BBD9-4E1B-A823-15873526BC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5F5ACA06-953F-4580-8AB0-57BB7E84081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EE37BFC6-CB77-4B94-8B5B-893EAF7BFA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6AFF8349-2BE5-4787-B96F-441FFEDC36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06A18D54-9A67-4938-A094-166AD032CB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C27E79F8-3322-4812-BA37-B3BE4712D3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40F9F248-75F5-4AF0-8D39-5011CBAEB22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5E3B0048-D3DE-42BE-99E9-C7A161EAE0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A7C74F57-A9E2-4437-855C-CA66C7B28C1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0A947A47-48C6-4A99-A15F-2B957145EC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24159665-5C7C-4AF8-AAB2-89D3023D8D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211D8528-31C1-41A0-B77B-72D7CCA8A7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0D2BBAA0-BDDA-4018-8400-B3238CF8BB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96C4C366-960F-4A4E-91AC-5EBB41BC254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B92FFFDE-D9DD-4D32-9A73-2D85401CDC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BC605EF4-9102-4ACB-8D01-DDB2C761B76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278EE712-1E34-4FFA-B8AB-DAB534AFFA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94D051C1-2E70-4C46-BA9A-2620F9461B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C9300C97-13BD-4091-AFDC-6BD46E5DF56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0C03224B-7F10-436C-B2A3-9C7DF68734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803782A5-7878-4DE0-8CA2-E0ADE35D14A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38F6FA62-38BB-4C16-BD35-09D4C97F902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77E17A95-5167-47D8-9E93-017467221AC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44293D93-56E1-41DB-BD10-2C849F647F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EEABD8FA-BF65-4407-9C37-4C37A64DE4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D2AF57CE-875C-4BA1-A036-7FE7C64D1E2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538FA7B3-1D53-4191-BE32-2C36E96862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9DA24551-D06D-4C60-AE50-028A496EF1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C43C4623-7396-4E64-9962-4B3C4427B2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DD3431BD-739D-4985-9E5A-FA8928DC5B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C3ACACCE-B518-4AEA-B95D-4AA61818B0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CFBF0BF9-5278-4576-BA6B-6167FA7D37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B625B4D1-F4E0-4C28-ADC2-2C70E6F19A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AEA426AE-CD8C-4016-B8B3-10B73E59D5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20AA2545-D050-47DF-AC7D-3374756A38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1BDC3C5D-8085-48F3-9E5E-714D5602EE2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AE9BC482-FB9F-4FE1-A900-6DC4F5D5D5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AD55F34C-02EB-46BB-8A12-D582A8567D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3F14B3F4-6522-4691-9333-F162D32017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7EF317D9-7C29-45A8-971B-5B7B5B46F9C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FFA0F39E-1F4F-42CE-BC92-ACFAD82EF3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A801C6D8-01D7-4F86-9139-B70533CEA0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0B5412C8-0060-450B-9656-F9FAB60DA3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28A8D8D9-4165-41A8-AEDF-98AAB2919C1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AF7DE906-BD71-437E-BDB0-BF0F3F74AF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43F28214-0908-4153-A4AB-B41EAE5C77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7AA33564-0DAE-4215-BDCA-B907B561EB3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646BC42F-BEB2-4BFE-B042-1D0444FBBF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E04A7C20-2DF9-4584-81BF-7588F769C7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F96EDF9F-F4E7-4E47-987B-A4FCC4FA03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F444F973-8520-4CD4-9967-740B6DEECDF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0F3CBBB2-94DF-42E8-A180-B634C2E252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AF6C34B7-D3ED-4C27-AC86-5B83549EFEC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4F3F543E-4283-4BB2-803F-DEB5B856C4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9C8BF4FA-59B0-4943-9A29-74A768D69E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B5CB78BD-4218-4BCD-9944-47D803FCF83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C1F8BDE7-5DAF-434B-86D6-C414CA541E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3423D7D0-1038-45D1-85B3-003BBBF760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8B1B2D98-8BE5-408B-A28B-7EF956C14F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B45E4EDA-6C9A-45B7-A342-6DBCB8A337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B1CFC43D-1955-452D-88D3-108660F997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D0127A69-E2F9-467F-B7CE-408B2D329A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4F43B1FE-82B1-4A31-88B9-3167D9BF878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2A9DF735-C958-4D35-A3DA-CF848F7EAA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932C6D48-2D0E-4CFC-9C03-BEC2B30C4AD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86A2C16E-8058-47F6-AB23-F88A8318D5D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92E283A3-D96B-40BB-BC1D-39EDAA1A6F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27031D70-CB8B-4BB3-B706-5A2B7DB2E2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FCEA5304-3D7A-4C75-94E6-B1654A6AEA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2E839D26-D0E9-4A7B-A575-49055DBF33F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64B413CC-C699-43D5-ABC2-A6EF53FEC9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733C0DD4-6E41-458B-A25B-D57B881D16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317FCEB5-0393-4E67-88BE-65BD5E6E703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543C500D-64AB-40BA-88A2-12381B7E7E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9E2DF50E-B5E5-4461-8ED3-6891F812D7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2FA6C663-FD2C-4019-ACC1-3FF8D98C8F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CB7EE9C7-2A32-4A06-B723-693E882E3FC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E370CBCB-553A-42FB-BEA5-B72B17FFD02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0B8E4699-529E-45D9-BE7D-3E435AF83D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EFEEE2C3-469A-410E-8D2A-2C91191B90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4A309A9A-DFF3-446C-8951-6D4608E7FB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A37BB96B-E329-4DC6-845C-5B74885781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2074EE0A-4AF0-4EB7-9361-E50492554A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19B5BD0A-74F3-4336-B48C-5B7699D151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E761BE93-E58D-47BD-AED1-9CF0A64C94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035098DD-52FC-44EB-9C1E-816ADC910A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AF903824-DA71-487A-9900-1360DEE533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55EF03EF-DA78-4F8F-B1C0-E70A3801C1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B15BD4C1-8A8B-4950-85F6-DABBD098FE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586C7582-376D-4593-A4AC-C20803BCC8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53F96592-3BE4-421F-9CCF-6B4B53AA72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EC84566E-60C9-42CC-AB6D-C98318E2A8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7E3EA0AF-2DB3-40D7-86E1-23EA204443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83BAFC02-8C91-4D64-B226-50C1759BF73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6B762BB9-263A-4B2F-9B78-E9DDCA871F4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661DEF4D-F658-4E68-8F57-845CF41E70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5AED2C63-9D9B-4B5E-B8A4-E68DDB28BB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E89E9E74-8455-4A53-BDAF-6D2DCF19B6F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FC632F69-26E2-4022-A911-C61407810E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9CCD242E-CCD1-4AA9-928F-DD5E6C7649F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71E133EA-07E0-4A98-8092-D29898E083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6C20147D-9A61-4F3E-B4D8-D835A21BF6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521D1513-68A4-4FE3-B473-1A46F7B9D8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7B4FBF9D-D837-4007-BBD9-4C63E0BF808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1DDA2409-E07C-4ED0-B8BE-6D73C10B3C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F4AAB587-052D-4F89-9AD6-440224B889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C65386CA-7E8A-4837-80F2-9AA8ED69B8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EA817061-7CC6-475F-980D-566258C8BA8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785F493A-70A5-48B8-AB8C-AA54114EF9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5B938C83-F6E5-4273-A0A4-B352C29B214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5ADA84C4-1540-46E6-AD23-D1DA9DBC83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9DDA2AC4-C417-4AAB-9C6D-C35094E415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B0137C94-9DD1-40EC-A50E-A74AB3A877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4E77B733-9CBC-4FD6-9D3F-3576E4DC024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729DD45D-B806-4CB5-907C-1D92E617A1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58013863-6B90-4045-AE28-D0BEFC5239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BA33F049-E6D1-46D3-B3F5-94B90E0B17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CEB371E7-CCFB-42EB-8546-1C8DDC5915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75835249-BB71-4A51-AF03-3972927BC1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69643EE5-6251-4230-B077-C9853300AD9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9EEC0301-8E78-466F-A229-FE40BAC218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5012D5A8-F9BD-41A2-B929-32C618E0DD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D8986D16-C089-44B5-8833-00D03EEF531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03512C67-8069-470E-86D2-C115284F5D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C5B4CE8F-DE84-4A16-AB86-FB65EF5AE3C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72187814-E3F9-45BF-BBF2-2F472D9F51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3361EF6E-239C-40A3-A9AD-3E444332D3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770F4414-59C5-4FD1-9341-EB06704ACD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EAF84B7B-0E12-4FA5-BD46-09762C514A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B2DA7577-143E-4D2E-A660-41BA6DB85CE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38EC2742-47D9-45A2-A33A-26A0A9E8A1E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6FC41C44-447D-481C-B53B-C5A34D61F41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2C706D0B-F422-4382-A4A4-94B473E7BA6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22397927-0193-469C-836F-03992FB08BC7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11EE6225-C10B-40E2-962B-1F36BAC41A6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25B0DBED-CF6E-4952-A923-8E5123B83E53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C291C14B-87D1-4AA2-8E9F-439D726F3952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E8EE57D9-E501-444E-998A-81ED7506606A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22B192C7-57E5-4070-8BD7-0E4C65A4E156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E22CC158-47D2-4877-B6DB-BCEE1FE672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C49DEA58-00A3-4B9C-A658-6EAA8B1F86D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B3BE7916-2B89-4B91-9456-2B401F2B5B8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16B1D4A2-22CF-4DA6-97E2-7EF825E3A2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B8C11F00-EFC6-4F81-AB89-37B7F965308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AF179D02-4924-4C15-8424-F36B7AE6D3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3EFC96B4-4C7A-4946-88ED-F4F07EEFA7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6BD1D810-3E22-4F8D-BD64-0F16688E00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CA984081-BA09-4C80-9193-2F7F251CBC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A9A2466F-8507-471A-8F51-E3F07E50E21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40CD50BA-E151-44AF-B07B-92EEC14F38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21E339D0-2368-4D49-8284-14D1AF4B87B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AFB42DE1-57B3-446C-B0BF-0CA1A467C9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851231D1-8018-4982-B6DD-B635A50EA7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1A31445E-1ABF-49A7-8C22-D5A2072AC7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3D24908A-7816-45D9-BFC3-04B051EBA8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568BF708-EB15-43C5-8A38-91D3D471AC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963F59C8-65E8-41F2-94E4-EB4C6B60983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ABE73F20-5E34-4F0F-8B4D-EC6FF75BAC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58144A44-5CC2-49CC-8E02-4EEC4B0320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FBA1BE7D-A0B2-4982-A257-ECE08855A3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34BC6713-382E-4418-AE1B-7BAE77BDE82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493D26B0-84B4-4067-B9E0-4C3A165B13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713C40A2-14BC-4E41-BB72-83B89A14D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387D5E11-7920-47EA-8EE4-1DE9CCCC02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FB9B851E-5457-4996-BB8C-5E6506F37D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41D45E17-068A-4D18-8719-996049B5ECA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6514570A-0305-4D22-8596-E35EF4B3A55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D0FA96E2-EC0A-4C94-8983-CB093B2FC9F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69EBAE55-AD5D-4304-888B-7086DFED40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6420C86A-612E-4EB6-B740-8B44BD1DB5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6451E647-D7D0-4E05-830D-9112BD8D67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D500E252-C4C5-4A19-8C87-9139D6E8FA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077D7903-C74D-4E0D-BFAA-BC8D0A90686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78814C44-2F9A-4604-98A0-C53F739F54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2076589D-2F37-4A07-88A7-7BC2E14067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6D96AC2A-C974-46A6-9F27-89428193A4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91BFB115-B0FB-4BAB-93D3-40312D4E79F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69E98142-9602-4F82-B9B6-C366F61CD6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39D8F6FB-3962-4B9F-A6C1-75D92F5D6D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EA29AE1B-AD5C-4CD4-B7EE-13181CD4806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7968D05E-E390-48C7-A898-BC27F275EF6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8E8FD6B9-9640-4620-A33E-EABAE5D8FF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9A5C1680-C305-4128-BDE8-5E1A56F6D4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F7948A5E-E468-4BD2-854D-D2056DC091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36F6B41C-F0F0-472C-99F0-E92EDCD997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82E2B1BC-2B71-4394-94F9-5ED9E3AE1AE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4D48E9FF-8DB4-4A8A-8D04-828D72B745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E912D5C3-3A4E-418A-A6FF-3FA6EE69A9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4DF9C30A-4518-4861-A151-7477F67051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D40674C7-ACF9-41A2-93D7-C9B8AF99EB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500ABACA-DDDA-4547-882E-26B1BD33BF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CF1ED71A-E24B-4608-9923-51044DAD6E9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23356BAE-65BE-4F06-A70E-B8ECEB168D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A681C1E5-15E6-45A9-AEA1-2BE286AE6A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652A77B9-AA80-4688-B4FE-9E8C49D646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5AEFC895-CD0B-42C1-8F42-31ACC574F3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F9EC83BF-0D52-4418-9DF3-73B3418B4C0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386C9C85-28DE-44CB-BCDD-E459988B3CE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14716591-DD9E-47FC-9BE4-D013EC7145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9535E536-CB5C-4E6D-8BDE-A6D59D1E6D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9AE013D8-1EFB-412E-B613-81DBDC90608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54FCE208-17FE-4963-810A-B6A59117FA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9C5F5E1D-1AA8-4C02-9CF0-96657D8D5F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7DE149AE-AD79-41A5-81F6-E01A58C348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55D62139-F9BF-41F6-A225-79EB276789A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B9A09123-F174-4F69-BCDD-C7F9D7A224C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973CEF78-33B1-49DC-AF60-C0F11DC95B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EABA996D-019B-42D3-9D21-0CA23E740E7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99C1C728-CB31-4928-B80E-8288669201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8749073C-856A-49D6-92CB-BD8542FFBF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64418A5F-7B67-4942-A540-0DD70CC85F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B288B4B6-4072-45B5-A71C-37448E9A664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989B59BC-BC66-4BC8-99B6-80A151FE371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50E665C3-72CD-446F-B35E-CAEEFFF4F4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899B88CA-E0F0-4CF6-984D-CE6F4CE751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55242871-16C3-483A-891A-B0729332ED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0C4145D9-DDF9-48B3-A388-0ABF776FBB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9DBD664B-EA42-40C2-BDA5-D9ABC16778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4CA36CE2-51FD-44D5-8028-07CAEB3EFB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CEB0F0C4-1CAA-45AF-94F1-5D0323418D1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0D7B0589-B0C0-4083-86E3-56659A96BF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447E9B48-18DA-41D6-A078-04B41ADAED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92291D8B-6F94-47EC-9228-5A8FBABDC3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31380C35-3D9B-4407-B232-35E0AF1DDBD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E8B68ED1-4280-4FAE-AA0D-748CFEAA41F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6EA6F6E2-D11A-422D-9C89-70C327E777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F76E7834-23FB-4A00-B3D5-862E47CA702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D50586EF-C20A-4E75-BDF8-05EA38CA6EB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87F144FA-C3EA-440D-A150-04E39BD479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0251656B-487F-406C-BC13-9BFB2F8749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D9F32E60-BA7B-4AFA-B15E-0B16334ADB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67440C85-BE1C-4392-A1AB-2E295E4AF9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110DD52A-7DBF-4F9D-AF49-95187BC2A8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A84A5D2E-03EE-4DE3-8D83-9835992A25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70BBA11E-DCFA-4275-BFDF-539276EAB8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BC54E510-D33E-468B-ACC2-18539468C2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EA0773AD-2E37-4F72-BC93-154D4E6866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AB2E2518-437C-4F84-BE5A-5BA78BF539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F2B6336A-78E9-4448-9431-CE4DBA71944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6A62704E-7C6D-4664-A44E-D13A3038112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5C7D7578-89CF-441B-B82B-9663369400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DD9D755D-E0FA-4070-BEBA-B718D5647F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33F9E3D0-4D05-4BB0-889C-88F9436773F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486FF1A0-AE05-42A3-B729-DF2D6E705CD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68871EC0-42C7-4637-B662-D5334B3775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AC6296CD-B49A-4797-8DDB-A6D8C87B05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14FC6E85-3079-472B-9BD6-191291259D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8D22A532-2550-4E99-8972-B4B357CB9C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AFB4FCBE-BCBB-4720-B300-1143F0B9E4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B7916485-E99F-4D9B-968A-13D4A3CB073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025B019C-90C7-434E-BC11-D2B8E8515B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1324C363-8C29-42DD-8EF4-2682314143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EEE4D9A0-74E1-4919-B228-9276F1B9A5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CCD13882-A8D1-4074-BF9C-8C50FEC183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7DF85500-2D07-48A2-93E7-C560FF3A6C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BB938521-6C54-40EA-9C92-B2A90724F8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1BE2E612-A1E2-4F50-95A1-B428ADFD395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902E9750-A3A0-4DEC-882D-CCBFF99F82E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15A80A6A-0DD7-4F49-AD59-977DDF312A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D9209DF3-7A2B-4A16-B428-EE6A97A0E3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731CF22B-C518-4274-8443-872BC7A64F4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DEB1F4C6-0933-46E2-93B5-AEAD3157F25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20AE700C-FB63-416D-996E-50F906D68F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43834049-89DD-46E5-A95B-3741EFCA02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E8561855-B9A4-4426-A1AC-8AA9E98DC3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4FA2451F-A627-4B39-A736-B82D3135012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7A55356C-B73D-4CC9-B1FB-5A99E07E98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89FE9927-AE31-47E1-89B8-484FB5FFAFF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356EFEAD-BBDC-464B-AE35-0B977D606B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74E966F2-A782-4D12-8C11-427A717AE78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4B821AA7-45DF-474A-ABF4-BFC4E7E331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B7FC2EFD-3BCA-4560-8110-C76F79695F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6B7EEF37-A97F-4222-9830-B513E82E572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A514849A-93B2-4229-AF2C-7D696F2B3B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19F455D4-296F-4E77-AD21-805F70144D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F706B9FB-ACC1-4AC8-864D-5AFD54E3D4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9F3CF7CE-3072-4DFC-9114-2AFA52308C0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C32A9231-8DF8-4F65-9FCE-0179B7A0BB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A219B6B4-0D3A-4E74-894F-0A83255E55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14079A36-2320-4853-BE00-817B631D4B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132F5708-C1CD-4D19-8785-B7DC3CC3385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ED653682-7246-40CD-9B64-FCD34DF40C3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5C2FA7F9-86D0-477A-B1F5-27AD23FEE5A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7805910A-140C-48BC-98A8-3A647D38AE7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428BFC27-A68D-47F8-B758-69C679FE995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B0267207-D5CF-4730-8BAC-9F8DDBA3E9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C92606E4-2009-4274-B36B-2835738EDB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B1A20EB2-8646-46AE-9ABE-636D49AD46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DE367638-5BE6-4B73-BE3F-79B669491D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768AABCC-85C6-45A1-AE75-021B358D120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05E0B0AB-B3CD-4946-97A5-8403166F55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4C9C3A42-6009-4F0C-A4B0-D10BDABE034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D28E100D-2531-4822-A0D4-BAB4220BC2A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1F798F10-6DCF-4A1F-AE36-58676EC9273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DF897656-E6B8-4303-AAAB-11680A7B81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C19F1CAA-5CF2-4F43-90B7-04813A930B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2DF8C142-3C30-4A71-99FF-B0A124B71B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F3962355-1D63-46B7-A2A2-DBBE0A2DC96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A1D18DDB-B05D-4A04-9CC8-5245E8DB1A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BF279E6C-6CF6-4E2B-899C-A699DF6FCC2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FC178F42-CAAB-4C47-8D5D-6CD4EE8893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0E28A7AB-BAFC-4BA0-8344-ADF9FDED5FF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CEAB901E-9B35-44D1-876D-4DF32955C9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C8CB446B-9E49-4F66-B824-B8EBDA6AFD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7ABDCFD6-4CA3-4988-8FD6-C169F96CB2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F67FB097-0B0F-4094-912B-5B4B463038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1E7A99A0-8D5F-473F-B107-255BF2D18F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39A53834-56DF-40AB-81E4-89736D43504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A8B8C5F8-9EE9-41D9-AC0F-D92E532FA6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BCD54652-9D1E-45D6-ABA4-060AE7AC1EA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1C4E5272-201D-416F-B365-C1FA5696B0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5C3E3A26-694B-4C18-83A8-0A0946A18E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33CA38C5-8258-424C-97FB-F77170E8E0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60F276DC-CD68-4F12-9DD5-C2930B5FD66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44C07516-C1E2-4BC1-BEFE-D5C6C58F05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1FE857B8-3328-45A6-A3F4-3230F99145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FFC5432E-AE46-4098-8BF4-D82F1A083D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7FB8D546-AD8B-46FC-81C2-6F044B3C93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945BB445-8109-45D0-BF20-2CF910081F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734CA897-2CA2-4372-B2B5-AE588826C7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4EB2812B-77CC-4C15-A2EE-87640F30AA5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AC2669E5-750D-4F94-9FB8-A2195793BDF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4CCBD879-C1FB-4267-BEDB-A0A9458E99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2B3BC6A2-5FA4-4644-9D3F-2320E2FAC69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9A3CC3EB-9178-4210-9ED1-58E642FDAEB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B7D1913D-C8E4-4F6E-8635-CBE5597F6DD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B51B343B-3D1E-4937-8349-628D732472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67372EA3-19A0-402E-A2D9-68445C7E11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626E203C-AD32-4E98-889D-C77AF0F0CA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8BC871EB-C664-40AD-ABF4-8C5B62E5B8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D21A3ACE-BF86-4D27-AD89-00DA690BA80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3EDD47AB-CADB-4921-AC19-CFAA69647B3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83C8AFD6-3F2C-417C-B12F-34AC6EE1F24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99AD14FA-ACF9-4883-B9BA-B5307B355E0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27E872AD-90C2-4E5D-8EAE-16F837E0D8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7D7FC1B6-0568-43CC-864D-E736DBE737D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65B9BE42-BB3D-4EA8-8705-9EB05AE5BBB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A651CBED-CC3C-4D88-A7FD-3C33F3633B8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3B288A43-5DD4-4673-A580-4E9657E3BE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7220008E-9D3F-46B0-84D6-FE30D261727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BEA6095A-EC00-4C8B-984A-2BA826423B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AB8FC88C-43DB-40F7-8ABC-DE11D779D2F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2CB974AD-EB60-442E-A561-D59D6EBEC0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A16355A3-32B3-479B-B113-62E593E78D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68BB60CC-7636-44D3-ACDB-A93D7D8677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37E6621A-A978-4B07-8976-FC6DA90605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D5071F56-728F-437F-B075-820172AE8A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B8B212D3-7F64-403C-8C40-8913FC8195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FDB90A1B-A519-445F-A62E-828CFCCE39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8C89F5C8-AE58-4C7D-8EF4-96804F5C1F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9A360765-E440-4327-9D63-EB59BAD731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1FB96262-435F-41C6-BEB0-EC9FAAE2D5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3D5DC41C-850E-40C0-B0B8-2DE9A215723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A14522F2-930F-48C7-AD90-FCA32589A90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574F69A6-9A44-4A88-A527-829327F950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BD08758D-0B89-4FCD-BB77-2DA8FD2644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13EAF28F-9DF6-4261-BA1A-FF9B84A5B6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0A504006-AB8D-406D-BF70-B3B838DD6A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EFB31339-17FA-43BE-A3E7-571EC18E0A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7361619C-C9D1-45D7-A3C8-998EE655F5B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0A4E951F-D325-4341-A36F-A2C5B603493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AF6B6C64-A8E8-4E6C-B740-09462CA1A0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40E17492-0046-4581-878F-7F97AD52F09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B9A036E6-1A0C-4766-9441-EA84BDC1840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B780EC6F-E3DC-4F7D-B5B7-8621A56A1CC3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33A857E8-8C10-4356-B558-1632747125E8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D80B5827-03D4-439E-BD97-E3B9E48CAC39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4B67F7D2-BE09-4682-9334-2555CCAAE17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312C28A1-3F4B-49FA-913B-A863508C2EA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1A3E7D18-CE5C-4257-862C-195DC8692D3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E4DF9A69-0D78-4485-9AD5-4165AFFA2987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79FFC2BF-2935-4FA6-878B-58647AF632B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POUTEAU</author>
  </authors>
  <commentList>
    <comment ref="B10" authorId="0" shapeId="0" xr:uid="{A202C39E-604A-46E4-8951-3C977DCE9F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0" authorId="0" shapeId="0" xr:uid="{367B4DF9-3F72-4D2E-BC73-D2ADD5C2A75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0" authorId="0" shapeId="0" xr:uid="{A50B6A54-4ED1-4F5D-B7B4-0F0E16444BF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0" authorId="0" shapeId="0" xr:uid="{FA04B169-514C-40AE-B1B6-7BCDCA38D6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0" authorId="0" shapeId="0" xr:uid="{B982FC0A-A838-4FC5-BE6D-32C35D0914E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0" authorId="0" shapeId="0" xr:uid="{7BA3EF14-0648-4A37-9C99-0379E3F410C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0" authorId="0" shapeId="0" xr:uid="{44D58140-7C3B-47AD-8FC4-2692588DC1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0" authorId="0" shapeId="0" xr:uid="{3796CEEF-9CCC-4D3B-AC59-70C8430B692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0" authorId="0" shapeId="0" xr:uid="{61917B0F-55D9-4170-9B47-E42A44234F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0" authorId="0" shapeId="0" xr:uid="{7CE2800C-097D-4DA3-AAC8-593AB04C64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0" authorId="0" shapeId="0" xr:uid="{6162FA05-CB68-4B7B-B3B9-CCB3079D8E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0" authorId="0" shapeId="0" xr:uid="{6936368D-300C-419E-937B-433A846EC7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0" authorId="0" shapeId="0" xr:uid="{3D10001F-176E-4FE8-8B08-1388BFFD52E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0" authorId="0" shapeId="0" xr:uid="{A10286A0-D79C-4B8A-9BFA-5FE5BC089B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0" authorId="0" shapeId="0" xr:uid="{1811E288-DFFD-4A36-BB70-C217376F5B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0" authorId="0" shapeId="0" xr:uid="{E40080F7-CF3A-4788-9138-AC82BA97E9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0" authorId="0" shapeId="0" xr:uid="{BD2CCC27-71DB-4009-A28A-ECA4EC1944A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0" authorId="0" shapeId="0" xr:uid="{5B91D794-7E96-414F-8C43-73F76B4DC76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0" authorId="0" shapeId="0" xr:uid="{9D0C102C-D5B0-460F-AD4A-E5FD12F8CA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0" authorId="0" shapeId="0" xr:uid="{D4A14DD8-B41B-4341-97BC-567E185234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0" authorId="0" shapeId="0" xr:uid="{D2102B76-D6F5-449B-B621-F82B881052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0" authorId="0" shapeId="0" xr:uid="{6B291C78-55CB-44C9-88A9-A1C854381ED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0" authorId="0" shapeId="0" xr:uid="{B9F7DE63-B919-4062-B27E-B2BFA81D93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0" authorId="0" shapeId="0" xr:uid="{6F4E8A0A-422F-490A-AE95-FF5F60C4C6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0" authorId="0" shapeId="0" xr:uid="{3C93CDDB-D4FF-4CDB-AB4B-24AFD5AB3B7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0" authorId="0" shapeId="0" xr:uid="{09942231-AFC3-4F7B-9320-B32F227BDF2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0" authorId="0" shapeId="0" xr:uid="{2FAD56AA-616F-4418-8FD6-7D50FBDFF08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0" authorId="0" shapeId="0" xr:uid="{7C7322F7-5D6E-48FE-9EC9-A48AA86BBC9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0" authorId="0" shapeId="0" xr:uid="{8FFE44D2-FA30-4CAB-B0D2-9D59B1D4DE9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0" authorId="0" shapeId="0" xr:uid="{91925219-0BCC-446F-896C-038A46374B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0" authorId="0" shapeId="0" xr:uid="{D012C9F5-885C-4E9B-A346-ACB8C61724A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0" authorId="0" shapeId="0" xr:uid="{7CDE32AC-8774-48D4-9F52-3FF5F12716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1" authorId="0" shapeId="0" xr:uid="{1EFC91F7-B2E9-4C1C-9CC7-0B0089F5F2A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1" authorId="0" shapeId="0" xr:uid="{302B52DF-5B47-404D-8E9E-18C698F8F6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1" authorId="0" shapeId="0" xr:uid="{8F0F9371-64D7-46FC-8071-B770D97E0AC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1" authorId="0" shapeId="0" xr:uid="{EC9CD505-0AF3-4D3D-B710-82B729B1A7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1" authorId="0" shapeId="0" xr:uid="{1464A17F-46D3-440B-A5DC-9581BA01FD0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1" authorId="0" shapeId="0" xr:uid="{36E099F5-21DE-453C-9913-EF2F7B05D0B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1" authorId="0" shapeId="0" xr:uid="{A7DC8CE8-0F24-412B-A47D-B6017810E03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1" authorId="0" shapeId="0" xr:uid="{D3F7B59F-561E-4E6D-9B22-85EDFF0949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1" authorId="0" shapeId="0" xr:uid="{0DF7AF49-43BC-4815-8B77-7546A58C065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1" authorId="0" shapeId="0" xr:uid="{1FB444D5-09A5-4817-BCC9-26BCB25431A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1" authorId="0" shapeId="0" xr:uid="{72367293-75E5-4D22-9E68-2148DE6CC57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1" authorId="0" shapeId="0" xr:uid="{65ABFC22-6F4A-432A-9FD1-4DD42870A00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1" authorId="0" shapeId="0" xr:uid="{DDFC901B-2E4A-4863-9BF6-80B51AD66C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1" authorId="0" shapeId="0" xr:uid="{2F8BF706-8935-46D9-B7A1-2E425D2789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1" authorId="0" shapeId="0" xr:uid="{82E1F7D3-E79D-45E7-A1DA-60958E23B0B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1" authorId="0" shapeId="0" xr:uid="{EE062325-8C83-4D9E-966F-64F18F607D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1" authorId="0" shapeId="0" xr:uid="{21A75B56-E542-44BF-944B-A17CC50F5C3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1" authorId="0" shapeId="0" xr:uid="{8879576F-15F3-437B-BC0F-6AC8853908F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1" authorId="0" shapeId="0" xr:uid="{CB320F49-011D-4C7A-80AD-DDD4D924EB4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1" authorId="0" shapeId="0" xr:uid="{190420E1-8046-48F5-8188-8F503A8B15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1" authorId="0" shapeId="0" xr:uid="{63694A50-FD56-441A-9A7C-ACFE6E45CE3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1" authorId="0" shapeId="0" xr:uid="{3FDDCBD0-E2A0-4A3D-B85F-8056518B6D3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1" authorId="0" shapeId="0" xr:uid="{E9FDADB1-2411-4DC7-8121-4F7D84494AE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1" authorId="0" shapeId="0" xr:uid="{AD655441-C5E9-48F2-8F98-444F3F0FB76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1" authorId="0" shapeId="0" xr:uid="{25DC8615-57F1-44D1-AFB7-F2F48B40502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1" authorId="0" shapeId="0" xr:uid="{68DF7425-05AC-4075-912C-B3757CC5234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1" authorId="0" shapeId="0" xr:uid="{29DD91D8-3248-448B-923E-8499A24917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1" authorId="0" shapeId="0" xr:uid="{4D297D3A-9073-4EB1-A30B-46E7F89F92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1" authorId="0" shapeId="0" xr:uid="{F582D193-5C03-4290-A53B-7BF51A7A086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1" authorId="0" shapeId="0" xr:uid="{8BAAA1CE-0552-4066-AC81-3A4400BA68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1" authorId="0" shapeId="0" xr:uid="{3F46F2BD-560B-4603-A7D3-DF58EAAA0C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1" authorId="0" shapeId="0" xr:uid="{5293C27D-C9AA-40CA-B333-ACDA359A3FE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2" authorId="0" shapeId="0" xr:uid="{FDA5FCC9-CAB3-459B-8E67-2F4ACD50DF6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2" authorId="0" shapeId="0" xr:uid="{9F359D15-9DB9-4417-BA34-F437250BDAF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2" authorId="0" shapeId="0" xr:uid="{FAF8977D-3080-4CE8-9409-53E9C1E397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2" authorId="0" shapeId="0" xr:uid="{E9172940-039C-4631-B727-B8101BFF88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2" authorId="0" shapeId="0" xr:uid="{3228073C-387F-4D35-9069-C862CDDB5D4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2" authorId="0" shapeId="0" xr:uid="{A84DA699-3B4D-416F-9490-CF64F0C326E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2" authorId="0" shapeId="0" xr:uid="{7C6F06DE-B172-4895-B8CD-EE05C19656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2" authorId="0" shapeId="0" xr:uid="{6BF5F799-4B68-46BD-B4D7-45B63E83DE2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2" authorId="0" shapeId="0" xr:uid="{9852B036-FBBC-4EDF-A163-322EBE87834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2" authorId="0" shapeId="0" xr:uid="{E21FED96-6EA6-44E1-9365-C82450814B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2" authorId="0" shapeId="0" xr:uid="{313FD945-AC1B-4915-AB7D-D4F1FA7D453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2" authorId="0" shapeId="0" xr:uid="{1053F14B-1905-4CD3-97ED-092A2CB3F8D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2" authorId="0" shapeId="0" xr:uid="{95297EE5-3AC8-428A-A46F-F691E8EFF77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2" authorId="0" shapeId="0" xr:uid="{7D68A2CE-32E2-4F05-B236-9D9311A2A4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2" authorId="0" shapeId="0" xr:uid="{7B3EF9AE-0827-4423-AA87-505D8B356D8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2" authorId="0" shapeId="0" xr:uid="{B4C06611-4EFB-46FB-BD42-101480F64E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2" authorId="0" shapeId="0" xr:uid="{934E67FF-B9A9-4728-936B-5FA2A237E9C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2" authorId="0" shapeId="0" xr:uid="{519C3E2E-5774-436B-A119-86558DD957E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2" authorId="0" shapeId="0" xr:uid="{E979DB41-F936-446F-8FFB-41A4A76F5EC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2" authorId="0" shapeId="0" xr:uid="{7CAA6C1B-82FB-4CC4-A51C-D995FEFDEBD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2" authorId="0" shapeId="0" xr:uid="{0DBE6995-B984-4D1F-A1E6-1F22DD34AC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2" authorId="0" shapeId="0" xr:uid="{593B9290-52B5-4CC3-91FB-6989187938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2" authorId="0" shapeId="0" xr:uid="{03115522-646B-40B2-AA6E-342D7C41C6C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2" authorId="0" shapeId="0" xr:uid="{4A565EAA-3625-4388-8BA8-EB95E099B36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2" authorId="0" shapeId="0" xr:uid="{757208CC-3E2D-42EB-ADDA-8A1077111B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2" authorId="0" shapeId="0" xr:uid="{523227E6-90B9-409F-AC2E-BB829E26582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2" authorId="0" shapeId="0" xr:uid="{4F798A99-A644-4B94-A61D-A08E46D7C9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2" authorId="0" shapeId="0" xr:uid="{451A6647-2A51-4509-8772-6C5F5ADFB6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2" authorId="0" shapeId="0" xr:uid="{92BE8ECB-ADC2-4FDE-B512-47110FD5F01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2" authorId="0" shapeId="0" xr:uid="{F2CA3CBA-676F-467A-8DA6-63D4B3684E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2" authorId="0" shapeId="0" xr:uid="{BD911FCE-0325-4B74-8CE8-5BDF30D11D7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2" authorId="0" shapeId="0" xr:uid="{425E0879-CAEC-4C96-A3BB-F36D98D8569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3" authorId="0" shapeId="0" xr:uid="{8BE8B90D-4A02-4826-AF1C-68CC846375B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3" authorId="0" shapeId="0" xr:uid="{CD5DA83C-725E-40A1-9F1E-6A977090B1D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3" authorId="0" shapeId="0" xr:uid="{BE874C26-750D-4D95-8405-1057E7D4AD8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3" authorId="0" shapeId="0" xr:uid="{DEC3A044-DB96-4D88-8F7E-0D1E7EAC5B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3" authorId="0" shapeId="0" xr:uid="{136E0194-25CA-4091-BCA4-5AA3AEF097C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3" authorId="0" shapeId="0" xr:uid="{F9B1E593-BA7D-42B0-823A-730E9D90D73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3" authorId="0" shapeId="0" xr:uid="{2770755F-C29C-4374-B672-BF9BF448DE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3" authorId="0" shapeId="0" xr:uid="{42EE77B9-6D43-42AD-84BA-FB5BC36D281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3" authorId="0" shapeId="0" xr:uid="{582FAE04-5D83-4158-B594-B00B2F286D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3" authorId="0" shapeId="0" xr:uid="{44A73EA1-34BC-4E9E-9A87-7CE79AC6BB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3" authorId="0" shapeId="0" xr:uid="{9C0F8B64-3DC6-42A2-B450-DAC11723F9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3" authorId="0" shapeId="0" xr:uid="{0A7B69DE-A914-45F0-B52D-F5BA08C5A4B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3" authorId="0" shapeId="0" xr:uid="{2A74E620-1648-4BB4-BE58-B4158FB582A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3" authorId="0" shapeId="0" xr:uid="{3C5FA2A4-6020-4CBD-AAA7-B889B140C03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3" authorId="0" shapeId="0" xr:uid="{25D3D0C5-2928-4E0F-BDBB-6299BB4348D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3" authorId="0" shapeId="0" xr:uid="{3B46857D-7BA8-4F77-8824-1D83F66BA06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3" authorId="0" shapeId="0" xr:uid="{63D6C5A2-0954-4AB6-A643-A8EE0B26FE8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3" authorId="0" shapeId="0" xr:uid="{D9C44811-215A-40E5-A1A8-9BAD020F2D8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3" authorId="0" shapeId="0" xr:uid="{C5E21775-F9AB-4B10-A703-0922EC240EC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3" authorId="0" shapeId="0" xr:uid="{BD44B6CC-83FA-4158-900C-A826386CF96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3" authorId="0" shapeId="0" xr:uid="{7CF3E68D-30BF-4E64-89C5-73AA295029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3" authorId="0" shapeId="0" xr:uid="{C638DBB3-780D-47C5-96DF-95CA1F0016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3" authorId="0" shapeId="0" xr:uid="{ADB11377-47A4-4046-915D-07B379CF0A1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3" authorId="0" shapeId="0" xr:uid="{E898F1B6-3245-48AF-84C1-F3B1E50DC7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3" authorId="0" shapeId="0" xr:uid="{21D548C4-CFF8-42C5-878C-7E36DAC4065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3" authorId="0" shapeId="0" xr:uid="{74D1834B-0537-435C-85E0-86A2281714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3" authorId="0" shapeId="0" xr:uid="{0C52D110-1E85-44F6-A745-9753E15B78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3" authorId="0" shapeId="0" xr:uid="{30985F0F-BD8C-4163-A272-715A01BE0CF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3" authorId="0" shapeId="0" xr:uid="{910DDB16-858A-4D5B-BC79-FCFFC4D021B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3" authorId="0" shapeId="0" xr:uid="{B65F4E0A-08AF-4918-A506-EA04CACEC2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3" authorId="0" shapeId="0" xr:uid="{C0B3723D-C628-4D0E-BA91-1A55749E259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3" authorId="0" shapeId="0" xr:uid="{F1159E32-A3BA-481D-9E49-9973950582B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4" authorId="0" shapeId="0" xr:uid="{0C174804-B3B0-42F2-9C26-9E641A9686B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4" authorId="0" shapeId="0" xr:uid="{BD25AA3B-764A-43E3-8E7B-C6C7BCEF802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4" authorId="0" shapeId="0" xr:uid="{6E90411E-A6CF-4710-9008-252A3B52EFB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4" authorId="0" shapeId="0" xr:uid="{0D583325-CCE4-487C-AE70-9030B25461F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4" authorId="0" shapeId="0" xr:uid="{2E18633A-E7CA-487A-9545-96FE7928200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4" authorId="0" shapeId="0" xr:uid="{0E2AEDAF-63C8-4C21-B9D6-285BC7D01EB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4" authorId="0" shapeId="0" xr:uid="{5FA3329A-CF2B-409D-8C7B-A4D03043340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4" authorId="0" shapeId="0" xr:uid="{18ED43D4-506A-4F2D-A506-09E8E571795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4" authorId="0" shapeId="0" xr:uid="{F137A3A2-498C-4E36-BEAA-A9ED400ACC4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4" authorId="0" shapeId="0" xr:uid="{D43A5688-A3D6-488C-9350-C74BABCA133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4" authorId="0" shapeId="0" xr:uid="{5217651B-E398-475C-978B-1118C4C42A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4" authorId="0" shapeId="0" xr:uid="{4601EF87-7EFB-4CC6-94E4-D659E260991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4" authorId="0" shapeId="0" xr:uid="{25EEB17A-4846-411F-AC96-93A5739E237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4" authorId="0" shapeId="0" xr:uid="{68DB2B43-137C-4499-8CCF-2112829674C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4" authorId="0" shapeId="0" xr:uid="{4089A697-CA39-42B8-8A91-19CA1B20EF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4" authorId="0" shapeId="0" xr:uid="{44826780-E61E-4FF9-A1C6-46CF66FFA10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4" authorId="0" shapeId="0" xr:uid="{A90A4A19-5AF9-40F7-8D6A-4363519159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4" authorId="0" shapeId="0" xr:uid="{5D1C12C9-DA2D-4559-9AC4-7C0CFAF8E97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4" authorId="0" shapeId="0" xr:uid="{586359D1-A66C-48BF-B906-F1D6A524090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4" authorId="0" shapeId="0" xr:uid="{6794DE55-B20C-498F-A9C6-F230D956337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4" authorId="0" shapeId="0" xr:uid="{F95CE11D-7CA2-4B85-AD32-0B72BCF053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4" authorId="0" shapeId="0" xr:uid="{DC21BED0-7BC9-4497-BC35-5255EC0C546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4" authorId="0" shapeId="0" xr:uid="{A1C10E03-6B1A-4E85-885B-2851D3A7AB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4" authorId="0" shapeId="0" xr:uid="{FB7F754B-C427-4661-96B1-7E417D46119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4" authorId="0" shapeId="0" xr:uid="{A487D46B-7552-41C7-9CF6-A7BC92B7C59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4" authorId="0" shapeId="0" xr:uid="{D6A38393-F0C3-4393-95EF-70B69508825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4" authorId="0" shapeId="0" xr:uid="{EDBFD8F8-9C5E-4A07-9E1F-770AC8DC838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4" authorId="0" shapeId="0" xr:uid="{FDF71EB3-64CD-4537-9CF0-26B0A922AFA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4" authorId="0" shapeId="0" xr:uid="{373D6631-ED5D-4503-8D56-2294AD7F849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4" authorId="0" shapeId="0" xr:uid="{62515EC9-FDD3-42E0-A76C-E402407A92A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4" authorId="0" shapeId="0" xr:uid="{5441BF25-10D5-4AB3-AF6B-5CD7C6B82C7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4" authorId="0" shapeId="0" xr:uid="{FD6A2DE7-DB5A-4077-8B5A-7BCB5F81384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5" authorId="0" shapeId="0" xr:uid="{73DE1482-BD84-46A6-8780-D04C29FD978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5" authorId="0" shapeId="0" xr:uid="{9D3102C6-63D2-4DE4-9F46-9C7D49B87F2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5" authorId="0" shapeId="0" xr:uid="{790ECE47-B5CD-4DA2-9F23-A0DD818D5A2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5" authorId="0" shapeId="0" xr:uid="{2B0F0A11-4626-4E3A-A88A-15374D9A0EE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5" authorId="0" shapeId="0" xr:uid="{05A70558-76CE-43F0-845E-B652FED6E86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5" authorId="0" shapeId="0" xr:uid="{BF28A385-8AC6-457C-8D21-CCD15914E8D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5" authorId="0" shapeId="0" xr:uid="{B64878F6-9FA6-49D7-A458-BA816D182AE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5" authorId="0" shapeId="0" xr:uid="{02E1D751-589D-4343-8E47-541DFE51C8A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5" authorId="0" shapeId="0" xr:uid="{71442F12-D889-43DC-AA65-DF15B4B1469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5" authorId="0" shapeId="0" xr:uid="{9EED7168-D3B0-4C7A-B7AA-C64BA87DDB0C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5" authorId="0" shapeId="0" xr:uid="{E9F49526-444A-49F8-B591-48B0EF0DAEC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5" authorId="0" shapeId="0" xr:uid="{DBCC8604-49F9-41F9-B0A4-46F61235F02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5" authorId="0" shapeId="0" xr:uid="{25DF460F-6572-480F-9067-DFF952D7158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5" authorId="0" shapeId="0" xr:uid="{F32EA47A-A178-4AF0-9B91-7DBE3C0CCDE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5" authorId="0" shapeId="0" xr:uid="{8724F4D5-BE92-4E8B-91E1-BAF7161DD6B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5" authorId="0" shapeId="0" xr:uid="{8B410633-F3E1-434B-BF6A-E0DE690F158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5" authorId="0" shapeId="0" xr:uid="{6F4EF8BF-41D5-4F29-B885-CD319CCC87D2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5" authorId="0" shapeId="0" xr:uid="{047CD61B-7739-461E-BA8A-CADCB9341CB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5" authorId="0" shapeId="0" xr:uid="{65D156FE-9CFE-4DBD-BE3F-836E06F729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5" authorId="0" shapeId="0" xr:uid="{6D7394FA-B8E1-4D2E-9674-7D1CF1D909B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5" authorId="0" shapeId="0" xr:uid="{7C557DD1-7355-4AE5-AA88-334F9EBA10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5" authorId="0" shapeId="0" xr:uid="{D0B04FB0-E861-4ECA-BFB0-4670B9C60DD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5" authorId="0" shapeId="0" xr:uid="{9843E395-9367-4782-872D-FE15C6DA21A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5" authorId="0" shapeId="0" xr:uid="{51D31E1D-EBB1-4A4A-93D3-1EB17CA4A9D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5" authorId="0" shapeId="0" xr:uid="{E80450B3-E45D-4723-BAB2-8010E0570AF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5" authorId="0" shapeId="0" xr:uid="{4D44D6FE-98E9-408B-BBE0-AAF44F4810B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5" authorId="0" shapeId="0" xr:uid="{CA06AC47-BF50-4D4A-B78B-F204030CC6A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5" authorId="0" shapeId="0" xr:uid="{E339B7F1-E778-401F-8951-14575122425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5" authorId="0" shapeId="0" xr:uid="{ED9574B5-15FA-4EAC-9011-C2248AA0310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5" authorId="0" shapeId="0" xr:uid="{0D42BCB6-55A8-4A70-9ADD-E178177DEB8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5" authorId="0" shapeId="0" xr:uid="{E1F3A868-D0FA-469B-BEFA-4D840F537DE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5" authorId="0" shapeId="0" xr:uid="{C23D08EB-C1C9-4C9C-A84C-CBC38842139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16" authorId="0" shapeId="0" xr:uid="{4BE30BFF-98AD-4366-AB2B-22082CA7AA4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C16" authorId="0" shapeId="0" xr:uid="{D05BDB40-4A9F-4862-B338-02DDA8503DA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D16" authorId="0" shapeId="0" xr:uid="{DF6252F2-7204-4DCE-A6E0-A8ADE48ADF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E16" authorId="0" shapeId="0" xr:uid="{C417AD60-9FBE-44AF-821F-8A3668ACC65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I16" authorId="0" shapeId="0" xr:uid="{2FC5498D-B89F-4C03-A155-0FCBF70E337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J16" authorId="0" shapeId="0" xr:uid="{C97D7648-1E47-4FFB-9BBD-1D3D56780B67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K16" authorId="0" shapeId="0" xr:uid="{0E526672-96C8-4308-A151-DFD6FC70BC7B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L16" authorId="0" shapeId="0" xr:uid="{FBBE0CF6-9450-4B81-B784-8901797ECC6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P16" authorId="0" shapeId="0" xr:uid="{D533DFE0-B3EC-46DB-AB07-412D75CE0A88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Q16" authorId="0" shapeId="0" xr:uid="{4E52B4AA-D054-4CC8-A11D-5D80CE7DCC0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R16" authorId="0" shapeId="0" xr:uid="{91C41913-0717-431E-8F22-A28B149780C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S16" authorId="0" shapeId="0" xr:uid="{37421076-72FE-4981-B6C6-7C10BEDAF27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W16" authorId="0" shapeId="0" xr:uid="{AAF81F01-95E4-4969-9788-0510E5853D8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X16" authorId="0" shapeId="0" xr:uid="{89F69E39-E018-4454-8F81-8AFBC19B28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Y16" authorId="0" shapeId="0" xr:uid="{9B90C19F-A45B-4962-80F3-50549C7F691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Z16" authorId="0" shapeId="0" xr:uid="{804E6AC5-902D-43DE-8C3C-A3A8C1E669C0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D16" authorId="0" shapeId="0" xr:uid="{15082EE0-304D-4C2E-87DE-721403FA8D5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E16" authorId="0" shapeId="0" xr:uid="{F7E4F286-6B31-4A1B-8477-119D588FF8D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F16" authorId="0" shapeId="0" xr:uid="{94D9B591-AA16-41A5-AED9-F2CE613500EA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G16" authorId="0" shapeId="0" xr:uid="{1F757E97-807C-4173-90A3-85D5C708874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K16" authorId="0" shapeId="0" xr:uid="{12EBCC5C-BC9F-4623-88EC-B94AE2FDD66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L16" authorId="0" shapeId="0" xr:uid="{07F6332E-E926-4EC1-A2A6-5ABA0DAD27E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M16" authorId="0" shapeId="0" xr:uid="{F5CAC6DB-241F-40D2-B236-D8E93EE1FE94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N16" authorId="0" shapeId="0" xr:uid="{36E3C1ED-FCAE-4F47-8994-DC20ACD04CF9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R16" authorId="0" shapeId="0" xr:uid="{C072137C-DC51-446B-92D0-61C42430C091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S16" authorId="0" shapeId="0" xr:uid="{95E913D8-A43F-4341-B064-C003450A07F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T16" authorId="0" shapeId="0" xr:uid="{A67452EE-E0C9-4E65-9C53-9AA1FDE7351D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U16" authorId="0" shapeId="0" xr:uid="{0455AB20-3DE5-4AC5-B34E-A80521A2E033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Y16" authorId="0" shapeId="0" xr:uid="{5139E48A-E503-49B6-B41C-86EFABC6539E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AZ16" authorId="0" shapeId="0" xr:uid="{725CE0E2-F615-428F-8A3C-58CA017D15C6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A16" authorId="0" shapeId="0" xr:uid="{43AB8B1B-3E4D-47BA-B64E-79CE2C6FD0FF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BB16" authorId="0" shapeId="0" xr:uid="{A3DFA639-E7CA-4051-9B30-AB0D9441F475}">
      <text>
        <r>
          <rPr>
            <b/>
            <sz val="9"/>
            <color indexed="81"/>
            <rFont val="Tahoma"/>
            <family val="2"/>
          </rPr>
          <t xml:space="preserve">Format de saisie pour 8h30 mettre 8:30
</t>
        </r>
      </text>
    </comment>
    <comment ref="G22" authorId="0" shapeId="0" xr:uid="{14FED47C-0F4E-4D1C-915A-B05FC86FA4B9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22" authorId="0" shapeId="0" xr:uid="{8C389BDA-7CE9-41C4-8A59-968A65441C8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22" authorId="0" shapeId="0" xr:uid="{ECCCEDFF-D2A9-40E6-B05B-0C5B2413F9C0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22" authorId="0" shapeId="0" xr:uid="{6D496C3C-CCF2-442D-855F-F6F0B320AA25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2" authorId="0" shapeId="0" xr:uid="{80C51A80-8A99-4DBC-8598-46ABCE4A8AC4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P22" authorId="0" shapeId="0" xr:uid="{FECC51C1-EF7C-49CC-B4B5-C3C727B9D1DC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W22" authorId="0" shapeId="0" xr:uid="{23E67DAC-92FD-4145-8356-79A3F298C3B8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" authorId="0" shapeId="0" xr:uid="{45CD6969-9060-410F-B506-BF2B4993D3FA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2" authorId="0" shapeId="0" xr:uid="{9E351D3C-1800-45D4-8C51-D88878833EE1}">
      <text>
        <r>
          <rPr>
            <b/>
            <sz val="9"/>
            <color indexed="81"/>
            <rFont val="Tahoma"/>
            <family val="2"/>
          </rPr>
          <t>Ne peut être compris entre 47 et 51 semaines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<sst xmlns="http://schemas.openxmlformats.org/spreadsheetml/2006/main" count="976" uniqueCount="166">
  <si>
    <t>Jours</t>
  </si>
  <si>
    <t>Semaine Type A</t>
  </si>
  <si>
    <t>Nbre d'heures</t>
  </si>
  <si>
    <t>Nbre d'heures en 100è</t>
  </si>
  <si>
    <t>Lundi</t>
  </si>
  <si>
    <t>Mardi</t>
  </si>
  <si>
    <t>Mercredi</t>
  </si>
  <si>
    <t>Jeudi</t>
  </si>
  <si>
    <t>Vendredi</t>
  </si>
  <si>
    <t>Samedi</t>
  </si>
  <si>
    <t>Dimanche</t>
  </si>
  <si>
    <t>Nombre d'heures normales :</t>
  </si>
  <si>
    <t>Nombre d'heures supplémentaires :</t>
  </si>
  <si>
    <t>Nombre de semaines d'accueil prévues :</t>
  </si>
  <si>
    <t>Total annuel heures normales :</t>
  </si>
  <si>
    <t>Total annuel heures supplémentaires :</t>
  </si>
  <si>
    <t>Semaine Type B</t>
  </si>
  <si>
    <t>Semaine Type C</t>
  </si>
  <si>
    <t>Semaine Type D</t>
  </si>
  <si>
    <t>Semaine Type E</t>
  </si>
  <si>
    <t>Semaine Type F</t>
  </si>
  <si>
    <t>Semaine Type G</t>
  </si>
  <si>
    <t>Semaine Type H</t>
  </si>
  <si>
    <t>Nombre d'heures normales mensualisées :</t>
  </si>
  <si>
    <t>Informations annuelles</t>
  </si>
  <si>
    <t>Contrat en année :</t>
  </si>
  <si>
    <t>Taux de conversion brut/net :</t>
  </si>
  <si>
    <t>Taux horaire net heures normales :</t>
  </si>
  <si>
    <t>Informations mensuelles</t>
  </si>
  <si>
    <t>Taux majoration heures supp :</t>
  </si>
  <si>
    <t>Salaire brut mensuel :</t>
  </si>
  <si>
    <t>Taux horaire brut heures suppl :</t>
  </si>
  <si>
    <t>PLANNING :</t>
  </si>
  <si>
    <t>MENSUALISATION</t>
  </si>
  <si>
    <t>Nom et prénom de l'employeur :</t>
  </si>
  <si>
    <t>Taux horaire brut heures normales :</t>
  </si>
  <si>
    <t>Montant de l'indemnité d'entretien par jour :</t>
  </si>
  <si>
    <t>Salaire mensuel net :</t>
  </si>
  <si>
    <t>+ congés payés :</t>
  </si>
  <si>
    <t>Vos ressources ne dépassent pas les limites suivantes</t>
  </si>
  <si>
    <t>Montant de l'aide</t>
  </si>
  <si>
    <t>Coût de l'assistante maternelle</t>
  </si>
  <si>
    <t>Soit à l'heure</t>
  </si>
  <si>
    <t>pour un enfant de moins de 3 ans**</t>
  </si>
  <si>
    <t>pour un enfant âgé de 3 à 6 ans</t>
  </si>
  <si>
    <t>Vos ressources sont inférieures 
aux montants suivants</t>
  </si>
  <si>
    <t xml:space="preserve">Vos ressources dépassent les limites suivantes </t>
  </si>
  <si>
    <t>Ce simulateur tient compte des heures supplémentaires et de la réduction des charges sociales loi janvier 2019</t>
  </si>
  <si>
    <t>Total annuel de jours d'accueil :</t>
  </si>
  <si>
    <t>Total mensuel de jours d'accueil :</t>
  </si>
  <si>
    <t>Salaire mensuel moyen total :</t>
  </si>
  <si>
    <t>+ Moyenne indemnité d'entretien :</t>
  </si>
  <si>
    <t>GRAINE DE FEES  www.grainedefees.fr</t>
  </si>
  <si>
    <t>Ceci est une approximation, les CP étant calculés en 10%  et non en maintien de salaire</t>
  </si>
  <si>
    <t>ou bénéficier d' un crédit d'impôts si non imposables</t>
  </si>
  <si>
    <r>
      <t xml:space="preserve">Pensez aussi aux </t>
    </r>
    <r>
      <rPr>
        <b/>
        <i/>
        <u/>
        <sz val="10"/>
        <rFont val="Arial"/>
        <family val="2"/>
      </rPr>
      <t>chèques CESU</t>
    </r>
    <r>
      <rPr>
        <i/>
        <sz val="10"/>
        <rFont val="Arial"/>
        <family val="2"/>
      </rPr>
      <t xml:space="preserve"> que vous pouvez avoir avec certaines entreprises ou établissements</t>
    </r>
  </si>
  <si>
    <t>Total heures semaine en centièmes :</t>
  </si>
  <si>
    <t>Nombre de semaines pour la mensualisation :</t>
  </si>
  <si>
    <t>+ Moyenne indemnité km :</t>
  </si>
  <si>
    <t>Ce montant tient compte de la réduction des charges salariales sur les heures supplémentaires</t>
  </si>
  <si>
    <t xml:space="preserve">CALCUL DU COUT D'UNE ASSISTANTE MATERNELLE </t>
  </si>
  <si>
    <t>Montant de l'indemnité km par jour :</t>
  </si>
  <si>
    <t>Montant  repas par jour :</t>
  </si>
  <si>
    <t>Montant goûter par jour :</t>
  </si>
  <si>
    <t>+ Moyenne indemnité goûter :</t>
  </si>
  <si>
    <t>+ Moyenne indemnité repas :</t>
  </si>
  <si>
    <t>Heure arrivée 1</t>
  </si>
  <si>
    <t>Heure départ 1</t>
  </si>
  <si>
    <t>Heure arrivée 2</t>
  </si>
  <si>
    <t>Heure départ 2</t>
  </si>
  <si>
    <t>Elevez vous seul(e) votre ou vos enfant(s) :</t>
  </si>
  <si>
    <t>NON</t>
  </si>
  <si>
    <t>Inférieur :</t>
  </si>
  <si>
    <t>Supérieur :</t>
  </si>
  <si>
    <t>Plafond de ressources :</t>
  </si>
  <si>
    <t>1 enfant :</t>
  </si>
  <si>
    <t>2 enfants :</t>
  </si>
  <si>
    <t>3 enfants :</t>
  </si>
  <si>
    <t>Au-delà de 3 enfants :</t>
  </si>
  <si>
    <t>Prestations :</t>
  </si>
  <si>
    <t>Enfant - 3ans :</t>
  </si>
  <si>
    <t>Enfant 3 à 6 ans :</t>
  </si>
  <si>
    <t xml:space="preserve">Majoration prestation parent seul : </t>
  </si>
  <si>
    <t>Majoration plafond parent seul :</t>
  </si>
  <si>
    <t>Plafond de ressources majoration :</t>
  </si>
  <si>
    <r>
      <t xml:space="preserve">*Depuis le 1er juin 2012, ces montants sont majorés de 40 % si vous élevez seul(e) votre ou vos enfants. (Prise en compte dans l'outil)
</t>
    </r>
    <r>
      <rPr>
        <i/>
        <sz val="10"/>
        <rFont val="Arial"/>
        <family val="2"/>
      </rPr>
      <t>**Si votre enfant atteint l’âge de 3 ans entre le 1er janvier et le 31 août, le bénéfice du montant mensuel maximum applicable aux enfants de 0 à 3 ans est prolongé jusqu’au mois précédent la rentrée scolaire de septembre.</t>
    </r>
  </si>
  <si>
    <t>Alsace Moselle :</t>
  </si>
  <si>
    <t>Date</t>
  </si>
  <si>
    <t xml:space="preserve">taux conversion </t>
  </si>
  <si>
    <t>taux conversion alsace</t>
  </si>
  <si>
    <t>Plafond de ressources 1ère enfant inférieur à</t>
  </si>
  <si>
    <t>Plafond de ressources 1ère enfant supérieur à</t>
  </si>
  <si>
    <t>Plafond de ressources 2è enfant inférieur à</t>
  </si>
  <si>
    <t>Plafond de ressources 2è enfant supérieur à</t>
  </si>
  <si>
    <t>Plafond de ressources 3è enfant inférieur à</t>
  </si>
  <si>
    <t>Plafond de ressources 3è enfant supérieur à</t>
  </si>
  <si>
    <t>au-delà 3 enfant inférieur à</t>
  </si>
  <si>
    <t>au-delà 3 enfant supérieur à</t>
  </si>
  <si>
    <t>Majoration plafond parents seul</t>
  </si>
  <si>
    <t>Prestation -3ans min</t>
  </si>
  <si>
    <t>Prestation -3ans milieu</t>
  </si>
  <si>
    <t>Prestation -3ans max</t>
  </si>
  <si>
    <t>Prestation Enfant 3 à 6 ans min</t>
  </si>
  <si>
    <t>Prestation Enfant 3 à 6 ans milieu</t>
  </si>
  <si>
    <t>Prestation Enfant 3 à 6 ans maxi</t>
  </si>
  <si>
    <t>Date d'effet :</t>
  </si>
  <si>
    <t>Modif :</t>
  </si>
  <si>
    <r>
      <t xml:space="preserve">De plus les parents peuvent déduire de leurs impôts un montant </t>
    </r>
    <r>
      <rPr>
        <b/>
        <u/>
        <sz val="10"/>
        <rFont val="Arial"/>
        <family val="2"/>
      </rPr>
      <t>maximum de 1 750 €</t>
    </r>
    <r>
      <rPr>
        <sz val="10"/>
        <rFont val="Arial"/>
        <family val="2"/>
      </rPr>
      <t xml:space="preserve">  après l'aide de la PAJE</t>
    </r>
  </si>
  <si>
    <r>
      <t xml:space="preserve">AIDE DE LA PAJE SELON LE REVENU FISCAL </t>
    </r>
    <r>
      <rPr>
        <b/>
        <sz val="12"/>
        <color rgb="FFFF0000"/>
        <rFont val="Arial"/>
        <family val="2"/>
      </rPr>
      <t xml:space="preserve">2023 </t>
    </r>
    <r>
      <rPr>
        <b/>
        <sz val="12"/>
        <rFont val="Arial"/>
        <family val="2"/>
      </rPr>
      <t>en vigueur jusqu'au 31 décembre 2025</t>
    </r>
  </si>
  <si>
    <t>Coût d'une heure d'acceuil de référence :</t>
  </si>
  <si>
    <t>(taux horaire, entretien, repas)</t>
  </si>
  <si>
    <t>Nombre d'enfant à charge :</t>
  </si>
  <si>
    <t>Plancher revenu</t>
  </si>
  <si>
    <t>Plafond revenu</t>
  </si>
  <si>
    <t>Coefficient retenu :</t>
  </si>
  <si>
    <t>coef 1 enfant</t>
  </si>
  <si>
    <t>coef 2 enfants</t>
  </si>
  <si>
    <t>coef 3 enfants</t>
  </si>
  <si>
    <t>coef 4 à 7 enfants</t>
  </si>
  <si>
    <t>coef +7 enfants</t>
  </si>
  <si>
    <t>Tableau coéf</t>
  </si>
  <si>
    <t>AEEH OUI</t>
  </si>
  <si>
    <t>AEEH NON</t>
  </si>
  <si>
    <t>Nbre enfant</t>
  </si>
  <si>
    <t>Nombre d'heures moyen d'accueil mensuel :</t>
  </si>
  <si>
    <t>CMG du mois :</t>
  </si>
  <si>
    <t xml:space="preserve">Cout du mois : </t>
  </si>
  <si>
    <t>Reste à charges par heure :</t>
  </si>
  <si>
    <t>Revenu Annuel</t>
  </si>
  <si>
    <t>Reste à charges approximatifs :</t>
  </si>
  <si>
    <t>Coût hor. ASS MAT :</t>
  </si>
  <si>
    <t>Soit un revenu mensuel retenue :</t>
  </si>
  <si>
    <t>Montant Moyen approximatif de l'aide Complément Mode de Garde par tranche de Revenu Annuel</t>
  </si>
  <si>
    <t>Je bénéficie de l'AEEH pour 1 enfant :</t>
  </si>
  <si>
    <t>% du coût prise en charge</t>
  </si>
  <si>
    <t>CMG après</t>
  </si>
  <si>
    <t>2 enf revenu max</t>
  </si>
  <si>
    <t>3 enf revenu min</t>
  </si>
  <si>
    <t>3 enf revenu max</t>
  </si>
  <si>
    <t>chge salariale</t>
  </si>
  <si>
    <t>chge patronale</t>
  </si>
  <si>
    <t>total charge</t>
  </si>
  <si>
    <t>Salaire brut</t>
  </si>
  <si>
    <t>salaire brut pris en charge</t>
  </si>
  <si>
    <t>Reste à charge</t>
  </si>
  <si>
    <r>
      <t xml:space="preserve">Revenu imposable employeur annuel :
</t>
    </r>
    <r>
      <rPr>
        <b/>
        <sz val="11"/>
        <color theme="3" tint="0.39997558519241921"/>
        <rFont val="Calibri"/>
        <family val="2"/>
        <scheme val="minor"/>
      </rPr>
      <t>(La saisie du revenu n'est pas obligatoire pour utiliser l'outil se référencer au tableau avec les tranches de revenu annuel)</t>
    </r>
  </si>
  <si>
    <t>Syndicat national FO des emplois de la famille       www.emploisdelafamille-fo.fr</t>
  </si>
  <si>
    <t>Salaire brut mensuel hors majoration :</t>
  </si>
  <si>
    <t>Estimation de la majoration mensuelle brut  :</t>
  </si>
  <si>
    <t xml:space="preserve">Total salaire brut : </t>
  </si>
  <si>
    <t>Salaire net avant exonération (charg.soc HS) estimé :</t>
  </si>
  <si>
    <t>Exonération charges sociales HS estimée :</t>
  </si>
  <si>
    <t>CMG environ</t>
  </si>
  <si>
    <t>Plafond horaire</t>
  </si>
  <si>
    <t>%salaire sur cout total</t>
  </si>
  <si>
    <t>revenu min</t>
  </si>
  <si>
    <t>revenu max</t>
  </si>
  <si>
    <t>1 enfants</t>
  </si>
  <si>
    <t>2 enfants</t>
  </si>
  <si>
    <t>3 enfants</t>
  </si>
  <si>
    <t>salaire mensuel retenue nouvel cmg</t>
  </si>
  <si>
    <t>1 enf revenu min</t>
  </si>
  <si>
    <t>1 enf revenu max</t>
  </si>
  <si>
    <t>2 enf revenu min</t>
  </si>
  <si>
    <t>+5%</t>
  </si>
  <si>
    <t>Mme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</si>
</sst>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&quot; hrs&quot;"/>
    <numFmt numFmtId="166" formatCode="0&quot; sem&quot;"/>
    <numFmt numFmtId="167" formatCode="_-* #,##0.0000\ &quot;€&quot;_-;\-* #,##0.0000\ &quot;€&quot;_-;_-* &quot;-&quot;??\ &quot;€&quot;_-;_-@_-"/>
    <numFmt numFmtId="168" formatCode="_-* #,##0.00\ &quot;€&quot;_-;\-* #,##0.00\ &quot;€&quot;_-;_-* &quot;-&quot;????\ &quot;€&quot;_-;_-@_-"/>
    <numFmt numFmtId="169" formatCode="#,##0.00&quot; €&quot;"/>
    <numFmt numFmtId="170" formatCode="#,##0.00&quot; €&quot;;[Red]\-#,##0.00&quot; €&quot;"/>
    <numFmt numFmtId="171" formatCode="0&quot; jrs&quot;"/>
    <numFmt numFmtId="172" formatCode="_-* #,##0\ _€_-;\-* #,##0\ _€_-;_-* &quot;-&quot;??\ _€_-;_-@_-"/>
    <numFmt numFmtId="173" formatCode="#,##0.00\ &quot;€&quot;"/>
    <numFmt numFmtId="174" formatCode="#,##0\ &quot;€&quot;"/>
    <numFmt numFmtId="175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rgb="FFFFFFFF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i/>
      <sz val="10"/>
      <color rgb="FFEE2224"/>
      <name val="Arial"/>
      <family val="2"/>
    </font>
    <font>
      <b/>
      <i/>
      <sz val="10"/>
      <color rgb="FFFF0000"/>
      <name val="Arial"/>
      <family val="2"/>
    </font>
    <font>
      <b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5C5A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28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20" fontId="0" fillId="0" borderId="1" xfId="0" applyNumberForma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right"/>
    </xf>
    <xf numFmtId="165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0" fillId="0" borderId="6" xfId="0" applyBorder="1" applyAlignment="1">
      <alignment horizontal="right"/>
    </xf>
    <xf numFmtId="166" fontId="0" fillId="0" borderId="0" xfId="0" applyNumberFormat="1"/>
    <xf numFmtId="0" fontId="2" fillId="0" borderId="0" xfId="0" applyFont="1"/>
    <xf numFmtId="0" fontId="2" fillId="0" borderId="0" xfId="0" applyFont="1" applyAlignment="1">
      <alignment horizontal="right"/>
    </xf>
    <xf numFmtId="167" fontId="0" fillId="0" borderId="0" xfId="1" applyNumberFormat="1" applyFont="1" applyProtection="1"/>
    <xf numFmtId="165" fontId="0" fillId="0" borderId="0" xfId="0" applyNumberFormat="1"/>
    <xf numFmtId="165" fontId="2" fillId="0" borderId="0" xfId="0" applyNumberFormat="1" applyFont="1"/>
    <xf numFmtId="165" fontId="0" fillId="0" borderId="7" xfId="0" applyNumberFormat="1" applyBorder="1"/>
    <xf numFmtId="168" fontId="2" fillId="0" borderId="0" xfId="0" applyNumberFormat="1" applyFont="1"/>
    <xf numFmtId="0" fontId="9" fillId="0" borderId="0" xfId="0" applyFont="1" applyAlignment="1">
      <alignment horizontal="right"/>
    </xf>
    <xf numFmtId="169" fontId="9" fillId="0" borderId="1" xfId="0" applyNumberFormat="1" applyFont="1" applyBorder="1"/>
    <xf numFmtId="169" fontId="0" fillId="0" borderId="0" xfId="0" applyNumberFormat="1"/>
    <xf numFmtId="169" fontId="10" fillId="0" borderId="0" xfId="0" applyNumberFormat="1" applyFont="1"/>
    <xf numFmtId="0" fontId="1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0" fontId="13" fillId="0" borderId="1" xfId="0" applyNumberFormat="1" applyFont="1" applyBorder="1" applyAlignment="1">
      <alignment vertical="center"/>
    </xf>
    <xf numFmtId="169" fontId="9" fillId="0" borderId="1" xfId="0" applyNumberFormat="1" applyFont="1" applyBorder="1" applyAlignment="1">
      <alignment vertical="center"/>
    </xf>
    <xf numFmtId="170" fontId="13" fillId="0" borderId="8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170" fontId="1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1" fontId="0" fillId="0" borderId="1" xfId="0" applyNumberFormat="1" applyBorder="1"/>
    <xf numFmtId="0" fontId="3" fillId="0" borderId="0" xfId="0" applyFont="1" applyAlignment="1">
      <alignment horizontal="center"/>
    </xf>
    <xf numFmtId="171" fontId="0" fillId="0" borderId="0" xfId="0" applyNumberFormat="1"/>
    <xf numFmtId="0" fontId="0" fillId="0" borderId="0" xfId="0" quotePrefix="1" applyAlignment="1">
      <alignment horizontal="right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/>
    <xf numFmtId="0" fontId="7" fillId="0" borderId="0" xfId="0" applyFont="1"/>
    <xf numFmtId="0" fontId="9" fillId="0" borderId="0" xfId="0" applyFont="1"/>
    <xf numFmtId="0" fontId="0" fillId="0" borderId="0" xfId="0" applyAlignment="1">
      <alignment horizontal="left"/>
    </xf>
    <xf numFmtId="0" fontId="1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172" fontId="0" fillId="0" borderId="0" xfId="3" applyNumberFormat="1" applyFont="1" applyProtection="1"/>
    <xf numFmtId="169" fontId="2" fillId="2" borderId="0" xfId="0" applyNumberFormat="1" applyFont="1" applyFill="1" applyAlignment="1" applyProtection="1">
      <alignment horizontal="center"/>
      <protection locked="0"/>
    </xf>
    <xf numFmtId="0" fontId="0" fillId="3" borderId="0" xfId="0" applyFill="1" applyProtection="1">
      <protection hidden="1"/>
    </xf>
    <xf numFmtId="14" fontId="0" fillId="0" borderId="0" xfId="0" applyNumberFormat="1"/>
    <xf numFmtId="9" fontId="0" fillId="0" borderId="0" xfId="2" applyFont="1"/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172" fontId="1" fillId="0" borderId="0" xfId="3" applyNumberFormat="1" applyFont="1" applyProtection="1">
      <protection hidden="1"/>
    </xf>
    <xf numFmtId="0" fontId="1" fillId="0" borderId="0" xfId="0" applyFont="1" applyProtection="1">
      <protection hidden="1"/>
    </xf>
    <xf numFmtId="9" fontId="1" fillId="0" borderId="0" xfId="2" applyFont="1" applyProtection="1">
      <protection hidden="1"/>
    </xf>
    <xf numFmtId="14" fontId="0" fillId="0" borderId="0" xfId="0" applyNumberFormat="1" applyAlignment="1" applyProtection="1">
      <alignment horizontal="center"/>
      <protection hidden="1"/>
    </xf>
    <xf numFmtId="0" fontId="20" fillId="0" borderId="0" xfId="0" applyFont="1"/>
    <xf numFmtId="0" fontId="11" fillId="0" borderId="0" xfId="0" applyFont="1" applyAlignment="1" applyProtection="1">
      <alignment horizontal="center"/>
      <protection hidden="1"/>
    </xf>
    <xf numFmtId="172" fontId="0" fillId="0" borderId="0" xfId="3" applyNumberFormat="1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right"/>
      <protection hidden="1"/>
    </xf>
    <xf numFmtId="169" fontId="9" fillId="0" borderId="1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0" xfId="0" quotePrefix="1" applyAlignment="1" applyProtection="1">
      <alignment horizontal="right"/>
      <protection hidden="1"/>
    </xf>
    <xf numFmtId="169" fontId="0" fillId="0" borderId="0" xfId="0" applyNumberFormat="1" applyProtection="1">
      <protection hidden="1"/>
    </xf>
    <xf numFmtId="4" fontId="8" fillId="0" borderId="0" xfId="0" applyNumberFormat="1" applyFont="1" applyProtection="1">
      <protection hidden="1"/>
    </xf>
    <xf numFmtId="169" fontId="10" fillId="0" borderId="0" xfId="0" applyNumberFormat="1" applyFont="1" applyProtection="1">
      <protection hidden="1"/>
    </xf>
    <xf numFmtId="0" fontId="10" fillId="0" borderId="0" xfId="0" applyFont="1" applyProtection="1">
      <protection hidden="1"/>
    </xf>
    <xf numFmtId="2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69" fontId="9" fillId="0" borderId="1" xfId="0" applyNumberFormat="1" applyFont="1" applyBorder="1" applyAlignment="1" applyProtection="1">
      <alignment vertical="center"/>
      <protection hidden="1"/>
    </xf>
    <xf numFmtId="44" fontId="0" fillId="0" borderId="0" xfId="1" applyFont="1" applyProtection="1">
      <protection hidden="1"/>
    </xf>
    <xf numFmtId="173" fontId="0" fillId="0" borderId="0" xfId="1" applyNumberFormat="1" applyFont="1" applyFill="1" applyAlignment="1" applyProtection="1">
      <alignment horizontal="center"/>
      <protection hidden="1"/>
    </xf>
    <xf numFmtId="165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horizontal="right" vertical="center"/>
      <protection hidden="1"/>
    </xf>
    <xf numFmtId="0" fontId="0" fillId="0" borderId="0" xfId="0" applyAlignment="1" applyProtection="1">
      <alignment horizontal="right" vertical="center" wrapText="1"/>
      <protection hidden="1"/>
    </xf>
    <xf numFmtId="173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73" fontId="0" fillId="0" borderId="0" xfId="0" applyNumberFormat="1" applyAlignment="1" applyProtection="1">
      <alignment horizontal="center"/>
      <protection hidden="1"/>
    </xf>
    <xf numFmtId="173" fontId="0" fillId="0" borderId="0" xfId="0" applyNumberFormat="1" applyProtection="1">
      <protection hidden="1"/>
    </xf>
    <xf numFmtId="0" fontId="2" fillId="0" borderId="0" xfId="0" applyFont="1" applyProtection="1">
      <protection hidden="1"/>
    </xf>
    <xf numFmtId="9" fontId="2" fillId="0" borderId="0" xfId="2" quotePrefix="1" applyFont="1" applyAlignment="1" applyProtection="1">
      <alignment horizontal="left" vertical="center"/>
      <protection hidden="1"/>
    </xf>
    <xf numFmtId="173" fontId="2" fillId="0" borderId="0" xfId="0" applyNumberFormat="1" applyFont="1" applyAlignment="1" applyProtection="1">
      <alignment horizontal="center"/>
      <protection hidden="1"/>
    </xf>
    <xf numFmtId="0" fontId="2" fillId="0" borderId="13" xfId="0" applyFont="1" applyBorder="1" applyAlignment="1" applyProtection="1">
      <alignment horizontal="center"/>
      <protection hidden="1"/>
    </xf>
    <xf numFmtId="0" fontId="0" fillId="0" borderId="11" xfId="0" applyBorder="1" applyProtection="1">
      <protection hidden="1"/>
    </xf>
    <xf numFmtId="173" fontId="0" fillId="0" borderId="16" xfId="0" applyNumberFormat="1" applyBorder="1" applyAlignment="1" applyProtection="1">
      <alignment horizontal="center" vertical="center"/>
      <protection hidden="1"/>
    </xf>
    <xf numFmtId="174" fontId="0" fillId="0" borderId="0" xfId="0" applyNumberFormat="1" applyProtection="1">
      <protection hidden="1"/>
    </xf>
    <xf numFmtId="0" fontId="0" fillId="0" borderId="12" xfId="0" applyBorder="1" applyProtection="1">
      <protection hidden="1"/>
    </xf>
    <xf numFmtId="173" fontId="0" fillId="0" borderId="17" xfId="0" applyNumberFormat="1" applyBorder="1" applyAlignment="1" applyProtection="1">
      <alignment horizontal="center" vertical="center"/>
      <protection hidden="1"/>
    </xf>
    <xf numFmtId="173" fontId="0" fillId="0" borderId="19" xfId="1" applyNumberFormat="1" applyFont="1" applyFill="1" applyBorder="1" applyAlignment="1" applyProtection="1">
      <alignment horizontal="center"/>
      <protection hidden="1"/>
    </xf>
    <xf numFmtId="0" fontId="2" fillId="6" borderId="10" xfId="0" applyFont="1" applyFill="1" applyBorder="1" applyAlignment="1" applyProtection="1">
      <alignment horizontal="center" vertical="center" wrapText="1"/>
      <protection hidden="1"/>
    </xf>
    <xf numFmtId="0" fontId="0" fillId="5" borderId="0" xfId="0" applyFill="1" applyProtection="1"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173" fontId="0" fillId="0" borderId="21" xfId="0" applyNumberFormat="1" applyBorder="1" applyAlignment="1" applyProtection="1">
      <alignment horizontal="center" vertical="center"/>
      <protection hidden="1"/>
    </xf>
    <xf numFmtId="0" fontId="0" fillId="0" borderId="2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173" fontId="0" fillId="0" borderId="0" xfId="0" applyNumberFormat="1" applyAlignment="1" applyProtection="1">
      <alignment vertical="center" wrapText="1"/>
      <protection hidden="1"/>
    </xf>
    <xf numFmtId="173" fontId="0" fillId="0" borderId="0" xfId="0" applyNumberFormat="1" applyAlignment="1" applyProtection="1">
      <alignment vertical="center"/>
      <protection hidden="1"/>
    </xf>
    <xf numFmtId="0" fontId="0" fillId="9" borderId="0" xfId="0" applyFill="1" applyAlignment="1" applyProtection="1">
      <alignment wrapText="1"/>
      <protection hidden="1"/>
    </xf>
    <xf numFmtId="0" fontId="0" fillId="9" borderId="0" xfId="0" applyFill="1" applyAlignment="1" applyProtection="1">
      <alignment vertical="center"/>
      <protection hidden="1"/>
    </xf>
    <xf numFmtId="0" fontId="0" fillId="10" borderId="0" xfId="0" applyFill="1" applyProtection="1">
      <protection hidden="1"/>
    </xf>
    <xf numFmtId="173" fontId="0" fillId="10" borderId="0" xfId="0" applyNumberFormat="1" applyFill="1" applyProtection="1">
      <protection hidden="1"/>
    </xf>
    <xf numFmtId="173" fontId="0" fillId="8" borderId="0" xfId="0" applyNumberFormat="1" applyFill="1" applyAlignment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22" fillId="0" borderId="0" xfId="0" applyFont="1" applyAlignment="1" applyProtection="1">
      <alignment horizontal="right"/>
      <protection hidden="1"/>
    </xf>
    <xf numFmtId="173" fontId="22" fillId="0" borderId="0" xfId="0" applyNumberFormat="1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0" fillId="11" borderId="0" xfId="0" applyFill="1" applyAlignment="1" applyProtection="1">
      <alignment horizontal="center" vertical="center"/>
      <protection locked="0"/>
    </xf>
    <xf numFmtId="14" fontId="0" fillId="11" borderId="0" xfId="0" applyNumberFormat="1" applyFill="1" applyAlignment="1" applyProtection="1">
      <alignment horizontal="center"/>
      <protection locked="0"/>
    </xf>
    <xf numFmtId="20" fontId="0" fillId="11" borderId="1" xfId="0" applyNumberFormat="1" applyFill="1" applyBorder="1" applyAlignment="1" applyProtection="1">
      <alignment horizontal="center"/>
      <protection locked="0"/>
    </xf>
    <xf numFmtId="166" fontId="0" fillId="11" borderId="1" xfId="0" applyNumberFormat="1" applyFill="1" applyBorder="1" applyAlignment="1" applyProtection="1">
      <alignment horizontal="center"/>
      <protection locked="0"/>
    </xf>
    <xf numFmtId="167" fontId="0" fillId="11" borderId="1" xfId="1" applyNumberFormat="1" applyFont="1" applyFill="1" applyBorder="1" applyAlignment="1" applyProtection="1">
      <alignment horizontal="center"/>
      <protection locked="0"/>
    </xf>
    <xf numFmtId="10" fontId="0" fillId="11" borderId="1" xfId="1" applyNumberFormat="1" applyFont="1" applyFill="1" applyBorder="1" applyAlignment="1" applyProtection="1">
      <alignment horizontal="center"/>
      <protection locked="0"/>
    </xf>
    <xf numFmtId="44" fontId="0" fillId="11" borderId="1" xfId="1" applyFont="1" applyFill="1" applyBorder="1" applyAlignment="1" applyProtection="1">
      <alignment horizontal="center"/>
      <protection locked="0"/>
    </xf>
    <xf numFmtId="173" fontId="0" fillId="11" borderId="0" xfId="1" applyNumberFormat="1" applyFont="1" applyFill="1" applyAlignment="1" applyProtection="1">
      <alignment horizontal="center" vertical="center"/>
      <protection locked="0"/>
    </xf>
    <xf numFmtId="173" fontId="27" fillId="5" borderId="0" xfId="0" applyNumberFormat="1" applyFont="1" applyFill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0" fontId="2" fillId="8" borderId="10" xfId="0" applyFont="1" applyFill="1" applyBorder="1" applyAlignment="1" applyProtection="1">
      <alignment horizontal="center" vertical="center" wrapText="1"/>
      <protection hidden="1"/>
    </xf>
    <xf numFmtId="173" fontId="0" fillId="0" borderId="11" xfId="0" applyNumberFormat="1" applyBorder="1" applyAlignment="1" applyProtection="1">
      <alignment horizontal="center" vertical="center"/>
      <protection hidden="1"/>
    </xf>
    <xf numFmtId="173" fontId="0" fillId="0" borderId="12" xfId="0" applyNumberFormat="1" applyBorder="1" applyAlignment="1" applyProtection="1">
      <alignment horizontal="center" vertical="center"/>
      <protection hidden="1"/>
    </xf>
    <xf numFmtId="0" fontId="2" fillId="7" borderId="16" xfId="0" applyFont="1" applyFill="1" applyBorder="1" applyAlignment="1" applyProtection="1">
      <alignment horizontal="center" vertical="center" wrapText="1"/>
      <protection hidden="1"/>
    </xf>
    <xf numFmtId="0" fontId="2" fillId="8" borderId="22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175" fontId="0" fillId="0" borderId="0" xfId="0" applyNumberFormat="1" applyProtection="1">
      <protection hidden="1"/>
    </xf>
    <xf numFmtId="9" fontId="0" fillId="0" borderId="0" xfId="2" quotePrefix="1" applyFont="1" applyAlignment="1" applyProtection="1">
      <alignment horizontal="center"/>
      <protection hidden="1"/>
    </xf>
    <xf numFmtId="9" fontId="0" fillId="0" borderId="0" xfId="2" applyFont="1" applyAlignment="1" applyProtection="1">
      <alignment horizontal="center"/>
      <protection hidden="1"/>
    </xf>
    <xf numFmtId="0" fontId="0" fillId="0" borderId="23" xfId="0" applyBorder="1" applyProtection="1">
      <protection hidden="1"/>
    </xf>
    <xf numFmtId="0" fontId="28" fillId="0" borderId="16" xfId="0" applyFont="1" applyBorder="1" applyProtection="1">
      <protection hidden="1"/>
    </xf>
    <xf numFmtId="0" fontId="28" fillId="0" borderId="17" xfId="0" applyFont="1" applyBorder="1" applyProtection="1">
      <protection hidden="1"/>
    </xf>
    <xf numFmtId="0" fontId="28" fillId="0" borderId="25" xfId="0" applyFont="1" applyBorder="1" applyProtection="1">
      <protection hidden="1"/>
    </xf>
    <xf numFmtId="0" fontId="28" fillId="0" borderId="24" xfId="0" applyFont="1" applyBorder="1" applyProtection="1">
      <protection hidden="1"/>
    </xf>
    <xf numFmtId="168" fontId="2" fillId="0" borderId="0" xfId="0" applyNumberFormat="1" applyFont="1" applyProtection="1">
      <protection hidden="1"/>
    </xf>
    <xf numFmtId="169" fontId="2" fillId="0" borderId="0" xfId="0" applyNumberFormat="1" applyFont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0" fontId="0" fillId="0" borderId="20" xfId="0" applyBorder="1" applyProtection="1">
      <protection hidden="1"/>
    </xf>
    <xf numFmtId="44" fontId="0" fillId="0" borderId="0" xfId="1" applyFont="1" applyFill="1" applyBorder="1" applyProtection="1"/>
    <xf numFmtId="0" fontId="3" fillId="0" borderId="0" xfId="0" applyFont="1" applyProtection="1">
      <protection hidden="1"/>
    </xf>
    <xf numFmtId="0" fontId="20" fillId="0" borderId="0" xfId="0" applyFont="1" applyProtection="1">
      <protection hidden="1"/>
    </xf>
    <xf numFmtId="14" fontId="0" fillId="11" borderId="0" xfId="0" applyNumberFormat="1" applyFill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right"/>
      <protection hidden="1"/>
    </xf>
    <xf numFmtId="20" fontId="0" fillId="11" borderId="1" xfId="0" applyNumberFormat="1" applyFill="1" applyBorder="1" applyAlignment="1" applyProtection="1">
      <alignment horizontal="center"/>
      <protection hidden="1"/>
    </xf>
    <xf numFmtId="20" fontId="0" fillId="0" borderId="1" xfId="0" applyNumberFormat="1" applyBorder="1" applyAlignment="1" applyProtection="1">
      <alignment horizontal="center"/>
      <protection hidden="1"/>
    </xf>
    <xf numFmtId="2" fontId="0" fillId="0" borderId="1" xfId="0" applyNumberForma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5" xfId="0" applyBorder="1" applyAlignment="1" applyProtection="1">
      <alignment horizontal="right"/>
      <protection hidden="1"/>
    </xf>
    <xf numFmtId="165" fontId="0" fillId="0" borderId="1" xfId="0" applyNumberFormat="1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3" xfId="0" applyBorder="1" applyAlignment="1" applyProtection="1">
      <alignment horizontal="right"/>
      <protection hidden="1"/>
    </xf>
    <xf numFmtId="0" fontId="0" fillId="0" borderId="6" xfId="0" applyBorder="1" applyAlignment="1" applyProtection="1">
      <alignment horizontal="right"/>
      <protection hidden="1"/>
    </xf>
    <xf numFmtId="166" fontId="0" fillId="11" borderId="1" xfId="0" applyNumberFormat="1" applyFill="1" applyBorder="1" applyAlignment="1" applyProtection="1">
      <alignment horizontal="center"/>
      <protection hidden="1"/>
    </xf>
    <xf numFmtId="171" fontId="0" fillId="0" borderId="1" xfId="0" applyNumberFormat="1" applyBorder="1" applyProtection="1">
      <protection hidden="1"/>
    </xf>
    <xf numFmtId="165" fontId="0" fillId="0" borderId="0" xfId="0" applyNumberFormat="1" applyProtection="1">
      <protection hidden="1"/>
    </xf>
    <xf numFmtId="167" fontId="0" fillId="11" borderId="1" xfId="1" applyNumberFormat="1" applyFont="1" applyFill="1" applyBorder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10" fontId="0" fillId="11" borderId="1" xfId="1" applyNumberFormat="1" applyFont="1" applyFill="1" applyBorder="1" applyAlignment="1" applyProtection="1">
      <alignment horizontal="center"/>
      <protection hidden="1"/>
    </xf>
    <xf numFmtId="167" fontId="0" fillId="11" borderId="1" xfId="1" applyNumberFormat="1" applyFont="1" applyFill="1" applyBorder="1" applyAlignment="1" applyProtection="1">
      <alignment horizontal="center"/>
      <protection hidden="1"/>
    </xf>
    <xf numFmtId="167" fontId="0" fillId="0" borderId="0" xfId="1" applyNumberFormat="1" applyFont="1" applyProtection="1">
      <protection hidden="1"/>
    </xf>
    <xf numFmtId="44" fontId="0" fillId="11" borderId="1" xfId="1" applyFont="1" applyFill="1" applyBorder="1" applyAlignment="1" applyProtection="1">
      <alignment horizontal="center"/>
      <protection hidden="1"/>
    </xf>
    <xf numFmtId="171" fontId="0" fillId="0" borderId="0" xfId="0" applyNumberForma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165" fontId="2" fillId="0" borderId="0" xfId="0" applyNumberFormat="1" applyFont="1" applyProtection="1">
      <protection hidden="1"/>
    </xf>
    <xf numFmtId="165" fontId="0" fillId="0" borderId="7" xfId="0" applyNumberFormat="1" applyBorder="1" applyProtection="1">
      <protection hidden="1"/>
    </xf>
    <xf numFmtId="44" fontId="0" fillId="0" borderId="0" xfId="1" applyFont="1" applyFill="1" applyBorder="1" applyProtection="1">
      <protection hidden="1"/>
    </xf>
    <xf numFmtId="0" fontId="29" fillId="0" borderId="0" xfId="0" applyFont="1" applyProtection="1">
      <protection hidden="1"/>
    </xf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11" borderId="0" xfId="0" applyFill="1" applyAlignment="1" applyProtection="1">
      <alignment horizontal="center" vertical="center"/>
      <protection locked="0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1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21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right" vertical="center" wrapText="1"/>
      <protection hidden="1"/>
    </xf>
    <xf numFmtId="0" fontId="2" fillId="6" borderId="13" xfId="0" applyFont="1" applyFill="1" applyBorder="1" applyAlignment="1" applyProtection="1">
      <alignment horizontal="center"/>
      <protection hidden="1"/>
    </xf>
    <xf numFmtId="0" fontId="2" fillId="6" borderId="14" xfId="0" applyFont="1" applyFill="1" applyBorder="1" applyAlignment="1" applyProtection="1">
      <alignment horizontal="center"/>
      <protection hidden="1"/>
    </xf>
    <xf numFmtId="0" fontId="2" fillId="6" borderId="15" xfId="0" applyFont="1" applyFill="1" applyBorder="1" applyAlignment="1" applyProtection="1">
      <alignment horizontal="center"/>
      <protection hidden="1"/>
    </xf>
    <xf numFmtId="0" fontId="2" fillId="7" borderId="13" xfId="0" applyFont="1" applyFill="1" applyBorder="1" applyAlignment="1" applyProtection="1">
      <alignment horizontal="center"/>
      <protection hidden="1"/>
    </xf>
    <xf numFmtId="0" fontId="2" fillId="7" borderId="14" xfId="0" applyFont="1" applyFill="1" applyBorder="1" applyAlignment="1" applyProtection="1">
      <alignment horizontal="center"/>
      <protection hidden="1"/>
    </xf>
    <xf numFmtId="0" fontId="2" fillId="7" borderId="15" xfId="0" applyFont="1" applyFill="1" applyBorder="1" applyAlignment="1" applyProtection="1">
      <alignment horizontal="center"/>
      <protection hidden="1"/>
    </xf>
    <xf numFmtId="0" fontId="2" fillId="8" borderId="13" xfId="0" applyFont="1" applyFill="1" applyBorder="1" applyAlignment="1" applyProtection="1">
      <alignment horizontal="center"/>
      <protection hidden="1"/>
    </xf>
    <xf numFmtId="0" fontId="2" fillId="8" borderId="14" xfId="0" applyFont="1" applyFill="1" applyBorder="1" applyAlignment="1" applyProtection="1">
      <alignment horizontal="center"/>
      <protection hidden="1"/>
    </xf>
    <xf numFmtId="0" fontId="2" fillId="8" borderId="15" xfId="0" applyFont="1" applyFill="1" applyBorder="1" applyAlignment="1" applyProtection="1">
      <alignment horizontal="center"/>
      <protection hidden="1"/>
    </xf>
    <xf numFmtId="0" fontId="3" fillId="0" borderId="4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6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0" fillId="11" borderId="0" xfId="0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>
      <alignment horizontal="right"/>
    </xf>
    <xf numFmtId="167" fontId="8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center"/>
      <protection hidden="1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147"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  <border>
        <left/>
        <right/>
        <top/>
        <bottom/>
        <vertical/>
        <horizontal/>
      </border>
    </dxf>
    <dxf>
      <font>
        <color theme="0"/>
      </font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theme="0"/>
      </font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F15C5A"/>
      </font>
      <fill>
        <patternFill patternType="none">
          <bgColor auto="1"/>
        </patternFill>
      </fill>
    </dxf>
    <dxf>
      <font>
        <color rgb="FFF15C5A"/>
      </font>
      <fill>
        <patternFill patternType="none">
          <bgColor auto="1"/>
        </patternFill>
      </fill>
      <border>
        <left style="thin">
          <color rgb="FFF15C5A"/>
        </left>
        <right style="thin">
          <color rgb="FFF15C5A"/>
        </right>
        <top style="thin">
          <color rgb="FFF15C5A"/>
        </top>
        <bottom style="thin">
          <color rgb="FFF15C5A"/>
        </bottom>
        <vertical/>
        <horizontal/>
      </border>
    </dxf>
    <dxf>
      <font>
        <color rgb="FFF15C5A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C4D79B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196EDDE-ADA0-4D07-AE67-985E9052CA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  <xdr:oneCellAnchor>
    <xdr:from>
      <xdr:col>4</xdr:col>
      <xdr:colOff>869785</xdr:colOff>
      <xdr:row>2</xdr:row>
      <xdr:rowOff>145018</xdr:rowOff>
    </xdr:from>
    <xdr:ext cx="51819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583BB44-3718-622A-05D7-DCB52C084D13}"/>
            </a:ext>
          </a:extLst>
        </xdr:cNvPr>
        <xdr:cNvSpPr/>
      </xdr:nvSpPr>
      <xdr:spPr>
        <a:xfrm>
          <a:off x="4351702" y="631851"/>
          <a:ext cx="51819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2700" cmpd="sng">
                <a:solidFill>
                  <a:schemeClr val="accent4"/>
                </a:solidFill>
                <a:prstDash val="solid"/>
              </a:ln>
              <a:gradFill>
                <a:gsLst>
                  <a:gs pos="0">
                    <a:schemeClr val="accent4"/>
                  </a:gs>
                  <a:gs pos="4000">
                    <a:schemeClr val="accent4">
                      <a:lumMod val="60000"/>
                      <a:lumOff val="40000"/>
                    </a:schemeClr>
                  </a:gs>
                  <a:gs pos="87000">
                    <a:schemeClr val="accent4">
                      <a:lumMod val="20000"/>
                      <a:lumOff val="80000"/>
                    </a:schemeClr>
                  </a:gs>
                </a:gsLst>
                <a:lin ang="5400000"/>
              </a:gradFill>
              <a:effectLst/>
            </a:rPr>
            <a:t>Version Mayotte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11</xdr:row>
      <xdr:rowOff>9525</xdr:rowOff>
    </xdr:from>
    <xdr:to>
      <xdr:col>11</xdr:col>
      <xdr:colOff>9526</xdr:colOff>
      <xdr:row>13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733926" y="2124075"/>
          <a:ext cx="38100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Pour</a:t>
          </a:r>
          <a:r>
            <a:rPr lang="fr-FR" sz="800" baseline="0"/>
            <a:t> le montant des frais d'entretien, de repas /goûter et kms, ce simulateur les calcule,  à partir  du nombre total 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jours  </a:t>
          </a:r>
          <a:r>
            <a:rPr lang="fr-FR" sz="800" baseline="0"/>
            <a:t>d 'accueil dans l'année /12. </a:t>
          </a:r>
          <a:endParaRPr lang="fr-FR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20</xdr:row>
      <xdr:rowOff>9525</xdr:rowOff>
    </xdr:from>
    <xdr:to>
      <xdr:col>11</xdr:col>
      <xdr:colOff>9526</xdr:colOff>
      <xdr:row>22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FF53789-9C5E-4445-B937-88978089B775}"/>
            </a:ext>
          </a:extLst>
        </xdr:cNvPr>
        <xdr:cNvSpPr txBox="1"/>
      </xdr:nvSpPr>
      <xdr:spPr>
        <a:xfrm>
          <a:off x="4733926" y="2124075"/>
          <a:ext cx="38100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800"/>
            <a:t>Pour</a:t>
          </a:r>
          <a:r>
            <a:rPr lang="fr-FR" sz="800" baseline="0"/>
            <a:t> le montant des frais d'entretien, de repas /goûter et kms, ce simulateur les calcule,  à partir  du nombre total </a:t>
          </a:r>
          <a:r>
            <a:rPr lang="fr-FR" sz="8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jours  </a:t>
          </a:r>
          <a:r>
            <a:rPr lang="fr-FR" sz="800" baseline="0"/>
            <a:t>d 'accueil dans l'année /12. </a:t>
          </a:r>
          <a:endParaRPr lang="fr-FR" sz="800"/>
        </a:p>
      </xdr:txBody>
    </xdr:sp>
    <xdr:clientData/>
  </xdr:twoCellAnchor>
  <xdr:twoCellAnchor>
    <xdr:from>
      <xdr:col>6</xdr:col>
      <xdr:colOff>922020</xdr:colOff>
      <xdr:row>38</xdr:row>
      <xdr:rowOff>137161</xdr:rowOff>
    </xdr:from>
    <xdr:to>
      <xdr:col>11</xdr:col>
      <xdr:colOff>150495</xdr:colOff>
      <xdr:row>42</xdr:row>
      <xdr:rowOff>137160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7729C79-FCC3-7F06-9FA3-717DC0B29249}"/>
            </a:ext>
          </a:extLst>
        </xdr:cNvPr>
        <xdr:cNvSpPr txBox="1"/>
      </xdr:nvSpPr>
      <xdr:spPr>
        <a:xfrm>
          <a:off x="8145780" y="5768341"/>
          <a:ext cx="5339715" cy="937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Le montant exacte</a:t>
          </a:r>
          <a:r>
            <a:rPr lang="fr-FR" sz="1600" b="1" baseline="0">
              <a:solidFill>
                <a:srgbClr val="FF0000"/>
              </a:solidFill>
            </a:rPr>
            <a:t> de la CMG est calculé chaque mois selon la déclaration mensuel (Montant du salaire, heures mensualisées, montant de l'entretien...)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2</xdr:col>
      <xdr:colOff>104775</xdr:colOff>
      <xdr:row>0</xdr:row>
      <xdr:rowOff>171450</xdr:rowOff>
    </xdr:from>
    <xdr:to>
      <xdr:col>2</xdr:col>
      <xdr:colOff>1139335</xdr:colOff>
      <xdr:row>5</xdr:row>
      <xdr:rowOff>38099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D6286E-C33E-4FB3-AD25-614586C1844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2552700" y="171450"/>
          <a:ext cx="1034560" cy="8381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62BF784-2913-4B13-98C1-F6A37DA529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529BE43-CC64-4581-BC94-E7E7CF70F1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514350</xdr:colOff>
      <xdr:row>0</xdr:row>
      <xdr:rowOff>228600</xdr:rowOff>
    </xdr:from>
    <xdr:to>
      <xdr:col>11</xdr:col>
      <xdr:colOff>720235</xdr:colOff>
      <xdr:row>4</xdr:row>
      <xdr:rowOff>200024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ACEDBC2-9DEA-4A0E-9454-300FF03788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204" t="13266" r="8163" b="15305"/>
        <a:stretch/>
      </xdr:blipFill>
      <xdr:spPr>
        <a:xfrm>
          <a:off x="9115425" y="228600"/>
          <a:ext cx="1034560" cy="838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BD61"/>
  <sheetViews>
    <sheetView showGridLines="0" tabSelected="1" zoomScale="90" zoomScaleNormal="90" workbookViewId="0">
      <selection activeCell="N5" sqref="N5"/>
    </sheetView>
  </sheetViews>
  <sheetFormatPr baseColWidth="10" defaultRowHeight="15" x14ac:dyDescent="0.25"/>
  <cols>
    <col min="1" max="2" width="12.42578125" customWidth="1"/>
    <col min="3" max="3" width="15" customWidth="1"/>
    <col min="4" max="4" width="12.42578125" customWidth="1"/>
    <col min="5" max="5" width="14.5703125" customWidth="1"/>
    <col min="6" max="56" width="12.42578125" customWidth="1"/>
  </cols>
  <sheetData>
    <row r="1" spans="1:56" ht="23.25" x14ac:dyDescent="0.35">
      <c r="A1" s="185" t="s">
        <v>33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3" spans="1:56" x14ac:dyDescent="0.25">
      <c r="C3" s="1" t="s">
        <v>34</v>
      </c>
      <c r="D3" s="189"/>
      <c r="E3" s="189"/>
      <c r="F3" s="189"/>
      <c r="I3" s="1"/>
      <c r="M3" s="121" t="s">
        <v>146</v>
      </c>
    </row>
    <row r="5" spans="1:56" ht="18.75" x14ac:dyDescent="0.3">
      <c r="A5" s="2" t="s">
        <v>32</v>
      </c>
      <c r="C5" s="68" t="s">
        <v>105</v>
      </c>
      <c r="D5" s="67">
        <f ca="1">+IF(D6="",NOW(),D6)</f>
        <v>46043.616195601855</v>
      </c>
      <c r="E5" s="47"/>
      <c r="F5" s="47"/>
    </row>
    <row r="6" spans="1:56" ht="18.75" x14ac:dyDescent="0.3">
      <c r="A6" s="2"/>
      <c r="C6" s="1" t="s">
        <v>106</v>
      </c>
      <c r="D6" s="123"/>
      <c r="E6" s="47"/>
      <c r="F6" s="47"/>
    </row>
    <row r="8" spans="1:56" ht="18.75" x14ac:dyDescent="0.3">
      <c r="A8" s="186" t="s">
        <v>1</v>
      </c>
      <c r="B8" s="187"/>
      <c r="C8" s="187"/>
      <c r="D8" s="187"/>
      <c r="E8" s="187"/>
      <c r="F8" s="187"/>
      <c r="G8" s="188"/>
      <c r="H8" s="186" t="s">
        <v>16</v>
      </c>
      <c r="I8" s="187"/>
      <c r="J8" s="187"/>
      <c r="K8" s="187"/>
      <c r="L8" s="187"/>
      <c r="M8" s="187"/>
      <c r="N8" s="188"/>
      <c r="O8" s="186" t="s">
        <v>17</v>
      </c>
      <c r="P8" s="187"/>
      <c r="Q8" s="187"/>
      <c r="R8" s="187"/>
      <c r="S8" s="187"/>
      <c r="T8" s="187"/>
      <c r="U8" s="188"/>
      <c r="V8" s="186" t="s">
        <v>18</v>
      </c>
      <c r="W8" s="187"/>
      <c r="X8" s="187"/>
      <c r="Y8" s="187"/>
      <c r="Z8" s="187"/>
      <c r="AA8" s="187"/>
      <c r="AB8" s="188"/>
      <c r="AC8" s="186" t="s">
        <v>19</v>
      </c>
      <c r="AD8" s="187"/>
      <c r="AE8" s="187"/>
      <c r="AF8" s="187"/>
      <c r="AG8" s="187"/>
      <c r="AH8" s="187"/>
      <c r="AI8" s="188"/>
      <c r="AJ8" s="186" t="s">
        <v>20</v>
      </c>
      <c r="AK8" s="187"/>
      <c r="AL8" s="187"/>
      <c r="AM8" s="187"/>
      <c r="AN8" s="187"/>
      <c r="AO8" s="187"/>
      <c r="AP8" s="188"/>
      <c r="AQ8" s="186" t="s">
        <v>21</v>
      </c>
      <c r="AR8" s="187"/>
      <c r="AS8" s="187"/>
      <c r="AT8" s="187"/>
      <c r="AU8" s="187"/>
      <c r="AV8" s="187"/>
      <c r="AW8" s="188"/>
      <c r="AX8" s="186" t="s">
        <v>22</v>
      </c>
      <c r="AY8" s="187"/>
      <c r="AZ8" s="187"/>
      <c r="BA8" s="187"/>
      <c r="BB8" s="187"/>
      <c r="BC8" s="187"/>
      <c r="BD8" s="188"/>
    </row>
    <row r="9" spans="1:56" ht="45" x14ac:dyDescent="0.25">
      <c r="A9" s="3" t="s">
        <v>0</v>
      </c>
      <c r="B9" s="3" t="s">
        <v>66</v>
      </c>
      <c r="C9" s="3" t="s">
        <v>67</v>
      </c>
      <c r="D9" s="3" t="s">
        <v>68</v>
      </c>
      <c r="E9" s="3" t="s">
        <v>69</v>
      </c>
      <c r="F9" s="3" t="s">
        <v>2</v>
      </c>
      <c r="G9" s="3" t="s">
        <v>3</v>
      </c>
      <c r="H9" s="3" t="s">
        <v>0</v>
      </c>
      <c r="I9" s="3" t="s">
        <v>66</v>
      </c>
      <c r="J9" s="3" t="s">
        <v>67</v>
      </c>
      <c r="K9" s="3" t="s">
        <v>68</v>
      </c>
      <c r="L9" s="3" t="s">
        <v>69</v>
      </c>
      <c r="M9" s="3" t="s">
        <v>2</v>
      </c>
      <c r="N9" s="3" t="s">
        <v>3</v>
      </c>
      <c r="O9" s="3" t="s">
        <v>0</v>
      </c>
      <c r="P9" s="3" t="s">
        <v>66</v>
      </c>
      <c r="Q9" s="3" t="s">
        <v>67</v>
      </c>
      <c r="R9" s="3" t="s">
        <v>68</v>
      </c>
      <c r="S9" s="3" t="s">
        <v>69</v>
      </c>
      <c r="T9" s="3" t="s">
        <v>2</v>
      </c>
      <c r="U9" s="3" t="s">
        <v>3</v>
      </c>
      <c r="V9" s="3" t="s">
        <v>0</v>
      </c>
      <c r="W9" s="3" t="s">
        <v>66</v>
      </c>
      <c r="X9" s="3" t="s">
        <v>67</v>
      </c>
      <c r="Y9" s="3" t="s">
        <v>68</v>
      </c>
      <c r="Z9" s="3" t="s">
        <v>69</v>
      </c>
      <c r="AA9" s="3" t="s">
        <v>2</v>
      </c>
      <c r="AB9" s="3" t="s">
        <v>3</v>
      </c>
      <c r="AC9" s="3" t="s">
        <v>0</v>
      </c>
      <c r="AD9" s="3" t="s">
        <v>66</v>
      </c>
      <c r="AE9" s="3" t="s">
        <v>67</v>
      </c>
      <c r="AF9" s="3" t="s">
        <v>68</v>
      </c>
      <c r="AG9" s="3" t="s">
        <v>69</v>
      </c>
      <c r="AH9" s="3" t="s">
        <v>2</v>
      </c>
      <c r="AI9" s="3" t="s">
        <v>3</v>
      </c>
      <c r="AJ9" s="3" t="s">
        <v>0</v>
      </c>
      <c r="AK9" s="3" t="s">
        <v>66</v>
      </c>
      <c r="AL9" s="3" t="s">
        <v>67</v>
      </c>
      <c r="AM9" s="3" t="s">
        <v>68</v>
      </c>
      <c r="AN9" s="3" t="s">
        <v>69</v>
      </c>
      <c r="AO9" s="3" t="s">
        <v>2</v>
      </c>
      <c r="AP9" s="3" t="s">
        <v>3</v>
      </c>
      <c r="AQ9" s="3" t="s">
        <v>0</v>
      </c>
      <c r="AR9" s="3" t="s">
        <v>66</v>
      </c>
      <c r="AS9" s="3" t="s">
        <v>67</v>
      </c>
      <c r="AT9" s="3" t="s">
        <v>68</v>
      </c>
      <c r="AU9" s="3" t="s">
        <v>69</v>
      </c>
      <c r="AV9" s="3" t="s">
        <v>2</v>
      </c>
      <c r="AW9" s="3" t="s">
        <v>3</v>
      </c>
      <c r="AX9" s="3" t="s">
        <v>0</v>
      </c>
      <c r="AY9" s="3" t="s">
        <v>66</v>
      </c>
      <c r="AZ9" s="3" t="s">
        <v>67</v>
      </c>
      <c r="BA9" s="3" t="s">
        <v>68</v>
      </c>
      <c r="BB9" s="3" t="s">
        <v>69</v>
      </c>
      <c r="BC9" s="3" t="s">
        <v>2</v>
      </c>
      <c r="BD9" s="3" t="s">
        <v>3</v>
      </c>
    </row>
    <row r="10" spans="1:56" x14ac:dyDescent="0.25">
      <c r="A10" s="4" t="s">
        <v>4</v>
      </c>
      <c r="B10" s="124"/>
      <c r="C10" s="124"/>
      <c r="D10" s="124"/>
      <c r="E10" s="124"/>
      <c r="F10" s="5">
        <f>+C10-B10+E10-D10</f>
        <v>0</v>
      </c>
      <c r="G10" s="6">
        <f>ROUND(+F10*24,2)</f>
        <v>0</v>
      </c>
      <c r="H10" s="4" t="s">
        <v>4</v>
      </c>
      <c r="I10" s="124"/>
      <c r="J10" s="124"/>
      <c r="K10" s="124"/>
      <c r="L10" s="124"/>
      <c r="M10" s="5">
        <f>+J10-I10+L10-K10</f>
        <v>0</v>
      </c>
      <c r="N10" s="6">
        <f>ROUND(+M10*24,2)</f>
        <v>0</v>
      </c>
      <c r="O10" s="4" t="s">
        <v>4</v>
      </c>
      <c r="P10" s="124"/>
      <c r="Q10" s="124"/>
      <c r="R10" s="124"/>
      <c r="S10" s="124"/>
      <c r="T10" s="5">
        <f>+Q10-P10+S10-R10</f>
        <v>0</v>
      </c>
      <c r="U10" s="6">
        <f>ROUND(+T10*24,2)</f>
        <v>0</v>
      </c>
      <c r="V10" s="4" t="s">
        <v>4</v>
      </c>
      <c r="W10" s="124"/>
      <c r="X10" s="124"/>
      <c r="Y10" s="124"/>
      <c r="Z10" s="124"/>
      <c r="AA10" s="5">
        <f>+X10-W10+Z10-Y10</f>
        <v>0</v>
      </c>
      <c r="AB10" s="6">
        <f>ROUND(+AA10*24,2)</f>
        <v>0</v>
      </c>
      <c r="AC10" s="4" t="s">
        <v>4</v>
      </c>
      <c r="AD10" s="124"/>
      <c r="AE10" s="124"/>
      <c r="AF10" s="124"/>
      <c r="AG10" s="124"/>
      <c r="AH10" s="5">
        <f>+AE10-AD10+AG10-AF10</f>
        <v>0</v>
      </c>
      <c r="AI10" s="6">
        <f>ROUND(+AH10*24,2)</f>
        <v>0</v>
      </c>
      <c r="AJ10" s="4" t="s">
        <v>4</v>
      </c>
      <c r="AK10" s="124"/>
      <c r="AL10" s="124"/>
      <c r="AM10" s="124"/>
      <c r="AN10" s="124"/>
      <c r="AO10" s="5">
        <f>+AL10-AK10+AN10-AM10</f>
        <v>0</v>
      </c>
      <c r="AP10" s="6">
        <f>ROUND(+AO10*24,2)</f>
        <v>0</v>
      </c>
      <c r="AQ10" s="4" t="s">
        <v>4</v>
      </c>
      <c r="AR10" s="124"/>
      <c r="AS10" s="124"/>
      <c r="AT10" s="124"/>
      <c r="AU10" s="124"/>
      <c r="AV10" s="5">
        <f>+AS10-AR10+AU10-AT10</f>
        <v>0</v>
      </c>
      <c r="AW10" s="6">
        <f>ROUND(+AV10*24,2)</f>
        <v>0</v>
      </c>
      <c r="AX10" s="4" t="s">
        <v>4</v>
      </c>
      <c r="AY10" s="124"/>
      <c r="AZ10" s="124"/>
      <c r="BA10" s="124"/>
      <c r="BB10" s="124"/>
      <c r="BC10" s="5">
        <f>+AZ10-AY10+BB10-BA10</f>
        <v>0</v>
      </c>
      <c r="BD10" s="6">
        <f>ROUND(+BC10*24,2)</f>
        <v>0</v>
      </c>
    </row>
    <row r="11" spans="1:56" x14ac:dyDescent="0.25">
      <c r="A11" s="4" t="s">
        <v>5</v>
      </c>
      <c r="B11" s="124"/>
      <c r="C11" s="124"/>
      <c r="D11" s="124"/>
      <c r="E11" s="124"/>
      <c r="F11" s="5">
        <f t="shared" ref="F11:F16" si="0">+C11-B11+E11-D11</f>
        <v>0</v>
      </c>
      <c r="G11" s="6">
        <f t="shared" ref="G11:G16" si="1">ROUND(+F11*24,2)</f>
        <v>0</v>
      </c>
      <c r="H11" s="4" t="s">
        <v>5</v>
      </c>
      <c r="I11" s="124"/>
      <c r="J11" s="124"/>
      <c r="K11" s="124"/>
      <c r="L11" s="124"/>
      <c r="M11" s="5">
        <f t="shared" ref="M11:M16" si="2">+J11-I11+L11-K11</f>
        <v>0</v>
      </c>
      <c r="N11" s="6">
        <f t="shared" ref="N11:N16" si="3">ROUND(+M11*24,2)</f>
        <v>0</v>
      </c>
      <c r="O11" s="4" t="s">
        <v>5</v>
      </c>
      <c r="P11" s="124"/>
      <c r="Q11" s="124"/>
      <c r="R11" s="124"/>
      <c r="S11" s="124"/>
      <c r="T11" s="5">
        <f t="shared" ref="T11:T16" si="4">+Q11-P11+S11-R11</f>
        <v>0</v>
      </c>
      <c r="U11" s="6">
        <f t="shared" ref="U11:U16" si="5">ROUND(+T11*24,2)</f>
        <v>0</v>
      </c>
      <c r="V11" s="4" t="s">
        <v>5</v>
      </c>
      <c r="W11" s="124"/>
      <c r="X11" s="124"/>
      <c r="Y11" s="124"/>
      <c r="Z11" s="124"/>
      <c r="AA11" s="5">
        <f t="shared" ref="AA11:AA16" si="6">+X11-W11+Z11-Y11</f>
        <v>0</v>
      </c>
      <c r="AB11" s="6">
        <f t="shared" ref="AB11:AB16" si="7">ROUND(+AA11*24,2)</f>
        <v>0</v>
      </c>
      <c r="AC11" s="4" t="s">
        <v>5</v>
      </c>
      <c r="AD11" s="124"/>
      <c r="AE11" s="124"/>
      <c r="AF11" s="124"/>
      <c r="AG11" s="124"/>
      <c r="AH11" s="5">
        <f t="shared" ref="AH11:AH16" si="8">+AE11-AD11+AG11-AF11</f>
        <v>0</v>
      </c>
      <c r="AI11" s="6">
        <f t="shared" ref="AI11:AI16" si="9">ROUND(+AH11*24,2)</f>
        <v>0</v>
      </c>
      <c r="AJ11" s="4" t="s">
        <v>5</v>
      </c>
      <c r="AK11" s="124"/>
      <c r="AL11" s="124"/>
      <c r="AM11" s="124"/>
      <c r="AN11" s="124"/>
      <c r="AO11" s="5">
        <f t="shared" ref="AO11:AO16" si="10">+AL11-AK11+AN11-AM11</f>
        <v>0</v>
      </c>
      <c r="AP11" s="6">
        <f t="shared" ref="AP11:AP16" si="11">ROUND(+AO11*24,2)</f>
        <v>0</v>
      </c>
      <c r="AQ11" s="4" t="s">
        <v>5</v>
      </c>
      <c r="AR11" s="124"/>
      <c r="AS11" s="124"/>
      <c r="AT11" s="124"/>
      <c r="AU11" s="124"/>
      <c r="AV11" s="5">
        <f t="shared" ref="AV11:AV16" si="12">+AS11-AR11+AU11-AT11</f>
        <v>0</v>
      </c>
      <c r="AW11" s="6">
        <f t="shared" ref="AW11:AW16" si="13">ROUND(+AV11*24,2)</f>
        <v>0</v>
      </c>
      <c r="AX11" s="4" t="s">
        <v>5</v>
      </c>
      <c r="AY11" s="124"/>
      <c r="AZ11" s="124"/>
      <c r="BA11" s="124"/>
      <c r="BB11" s="124"/>
      <c r="BC11" s="5">
        <f t="shared" ref="BC11:BC16" si="14">+AZ11-AY11+BB11-BA11</f>
        <v>0</v>
      </c>
      <c r="BD11" s="6">
        <f t="shared" ref="BD11:BD16" si="15">ROUND(+BC11*24,2)</f>
        <v>0</v>
      </c>
    </row>
    <row r="12" spans="1:56" x14ac:dyDescent="0.25">
      <c r="A12" s="4" t="s">
        <v>6</v>
      </c>
      <c r="B12" s="124"/>
      <c r="C12" s="124"/>
      <c r="D12" s="124"/>
      <c r="E12" s="124"/>
      <c r="F12" s="5">
        <f t="shared" si="0"/>
        <v>0</v>
      </c>
      <c r="G12" s="6">
        <f t="shared" si="1"/>
        <v>0</v>
      </c>
      <c r="H12" s="4" t="s">
        <v>6</v>
      </c>
      <c r="I12" s="124"/>
      <c r="J12" s="124"/>
      <c r="K12" s="124"/>
      <c r="L12" s="124"/>
      <c r="M12" s="5">
        <f t="shared" si="2"/>
        <v>0</v>
      </c>
      <c r="N12" s="6">
        <f t="shared" si="3"/>
        <v>0</v>
      </c>
      <c r="O12" s="4" t="s">
        <v>6</v>
      </c>
      <c r="P12" s="124"/>
      <c r="Q12" s="124"/>
      <c r="R12" s="124"/>
      <c r="S12" s="124"/>
      <c r="T12" s="5">
        <f t="shared" si="4"/>
        <v>0</v>
      </c>
      <c r="U12" s="6">
        <f t="shared" si="5"/>
        <v>0</v>
      </c>
      <c r="V12" s="4" t="s">
        <v>6</v>
      </c>
      <c r="W12" s="124"/>
      <c r="X12" s="124"/>
      <c r="Y12" s="124"/>
      <c r="Z12" s="124"/>
      <c r="AA12" s="5">
        <f t="shared" si="6"/>
        <v>0</v>
      </c>
      <c r="AB12" s="6">
        <f t="shared" si="7"/>
        <v>0</v>
      </c>
      <c r="AC12" s="4" t="s">
        <v>6</v>
      </c>
      <c r="AD12" s="124"/>
      <c r="AE12" s="124"/>
      <c r="AF12" s="124"/>
      <c r="AG12" s="124"/>
      <c r="AH12" s="5">
        <f t="shared" si="8"/>
        <v>0</v>
      </c>
      <c r="AI12" s="6">
        <f t="shared" si="9"/>
        <v>0</v>
      </c>
      <c r="AJ12" s="4" t="s">
        <v>6</v>
      </c>
      <c r="AK12" s="124"/>
      <c r="AL12" s="124"/>
      <c r="AM12" s="124"/>
      <c r="AN12" s="124"/>
      <c r="AO12" s="5">
        <f t="shared" si="10"/>
        <v>0</v>
      </c>
      <c r="AP12" s="6">
        <f t="shared" si="11"/>
        <v>0</v>
      </c>
      <c r="AQ12" s="4" t="s">
        <v>6</v>
      </c>
      <c r="AR12" s="124"/>
      <c r="AS12" s="124"/>
      <c r="AT12" s="124"/>
      <c r="AU12" s="124"/>
      <c r="AV12" s="5">
        <f t="shared" si="12"/>
        <v>0</v>
      </c>
      <c r="AW12" s="6">
        <f t="shared" si="13"/>
        <v>0</v>
      </c>
      <c r="AX12" s="4" t="s">
        <v>6</v>
      </c>
      <c r="AY12" s="124"/>
      <c r="AZ12" s="124"/>
      <c r="BA12" s="124"/>
      <c r="BB12" s="124"/>
      <c r="BC12" s="5">
        <f t="shared" si="14"/>
        <v>0</v>
      </c>
      <c r="BD12" s="6">
        <f t="shared" si="15"/>
        <v>0</v>
      </c>
    </row>
    <row r="13" spans="1:56" x14ac:dyDescent="0.25">
      <c r="A13" s="4" t="s">
        <v>7</v>
      </c>
      <c r="B13" s="124"/>
      <c r="C13" s="124"/>
      <c r="D13" s="124"/>
      <c r="E13" s="124"/>
      <c r="F13" s="5">
        <f t="shared" si="0"/>
        <v>0</v>
      </c>
      <c r="G13" s="6">
        <f t="shared" si="1"/>
        <v>0</v>
      </c>
      <c r="H13" s="4" t="s">
        <v>7</v>
      </c>
      <c r="I13" s="124"/>
      <c r="J13" s="124"/>
      <c r="K13" s="124"/>
      <c r="L13" s="124"/>
      <c r="M13" s="5">
        <f t="shared" si="2"/>
        <v>0</v>
      </c>
      <c r="N13" s="6">
        <f t="shared" si="3"/>
        <v>0</v>
      </c>
      <c r="O13" s="4" t="s">
        <v>7</v>
      </c>
      <c r="P13" s="124"/>
      <c r="Q13" s="124"/>
      <c r="R13" s="124"/>
      <c r="S13" s="124"/>
      <c r="T13" s="5">
        <f t="shared" si="4"/>
        <v>0</v>
      </c>
      <c r="U13" s="6">
        <f t="shared" si="5"/>
        <v>0</v>
      </c>
      <c r="V13" s="4" t="s">
        <v>7</v>
      </c>
      <c r="W13" s="124"/>
      <c r="X13" s="124"/>
      <c r="Y13" s="124"/>
      <c r="Z13" s="124"/>
      <c r="AA13" s="5">
        <f t="shared" si="6"/>
        <v>0</v>
      </c>
      <c r="AB13" s="6">
        <f t="shared" si="7"/>
        <v>0</v>
      </c>
      <c r="AC13" s="4" t="s">
        <v>7</v>
      </c>
      <c r="AD13" s="124"/>
      <c r="AE13" s="124"/>
      <c r="AF13" s="124"/>
      <c r="AG13" s="124"/>
      <c r="AH13" s="5">
        <f t="shared" si="8"/>
        <v>0</v>
      </c>
      <c r="AI13" s="6">
        <f t="shared" si="9"/>
        <v>0</v>
      </c>
      <c r="AJ13" s="4" t="s">
        <v>7</v>
      </c>
      <c r="AK13" s="124"/>
      <c r="AL13" s="124"/>
      <c r="AM13" s="124"/>
      <c r="AN13" s="124"/>
      <c r="AO13" s="5">
        <f t="shared" si="10"/>
        <v>0</v>
      </c>
      <c r="AP13" s="6">
        <f t="shared" si="11"/>
        <v>0</v>
      </c>
      <c r="AQ13" s="4" t="s">
        <v>7</v>
      </c>
      <c r="AR13" s="124"/>
      <c r="AS13" s="124"/>
      <c r="AT13" s="124"/>
      <c r="AU13" s="124"/>
      <c r="AV13" s="5">
        <f t="shared" si="12"/>
        <v>0</v>
      </c>
      <c r="AW13" s="6">
        <f t="shared" si="13"/>
        <v>0</v>
      </c>
      <c r="AX13" s="4" t="s">
        <v>7</v>
      </c>
      <c r="AY13" s="124"/>
      <c r="AZ13" s="124"/>
      <c r="BA13" s="124"/>
      <c r="BB13" s="124"/>
      <c r="BC13" s="5">
        <f t="shared" si="14"/>
        <v>0</v>
      </c>
      <c r="BD13" s="6">
        <f t="shared" si="15"/>
        <v>0</v>
      </c>
    </row>
    <row r="14" spans="1:56" x14ac:dyDescent="0.25">
      <c r="A14" s="4" t="s">
        <v>8</v>
      </c>
      <c r="B14" s="124"/>
      <c r="C14" s="124"/>
      <c r="D14" s="124"/>
      <c r="E14" s="124"/>
      <c r="F14" s="5">
        <f t="shared" si="0"/>
        <v>0</v>
      </c>
      <c r="G14" s="6">
        <f t="shared" si="1"/>
        <v>0</v>
      </c>
      <c r="H14" s="4" t="s">
        <v>8</v>
      </c>
      <c r="I14" s="124"/>
      <c r="J14" s="124"/>
      <c r="K14" s="124"/>
      <c r="L14" s="124"/>
      <c r="M14" s="5">
        <f t="shared" si="2"/>
        <v>0</v>
      </c>
      <c r="N14" s="6">
        <f t="shared" si="3"/>
        <v>0</v>
      </c>
      <c r="O14" s="4" t="s">
        <v>8</v>
      </c>
      <c r="P14" s="124"/>
      <c r="Q14" s="124"/>
      <c r="R14" s="124"/>
      <c r="S14" s="124"/>
      <c r="T14" s="5">
        <f t="shared" si="4"/>
        <v>0</v>
      </c>
      <c r="U14" s="6">
        <f t="shared" si="5"/>
        <v>0</v>
      </c>
      <c r="V14" s="4" t="s">
        <v>8</v>
      </c>
      <c r="W14" s="124"/>
      <c r="X14" s="124"/>
      <c r="Y14" s="124"/>
      <c r="Z14" s="124"/>
      <c r="AA14" s="5">
        <f t="shared" si="6"/>
        <v>0</v>
      </c>
      <c r="AB14" s="6">
        <f t="shared" si="7"/>
        <v>0</v>
      </c>
      <c r="AC14" s="4" t="s">
        <v>8</v>
      </c>
      <c r="AD14" s="124"/>
      <c r="AE14" s="124"/>
      <c r="AF14" s="124"/>
      <c r="AG14" s="124"/>
      <c r="AH14" s="5">
        <f t="shared" si="8"/>
        <v>0</v>
      </c>
      <c r="AI14" s="6">
        <f t="shared" si="9"/>
        <v>0</v>
      </c>
      <c r="AJ14" s="4" t="s">
        <v>8</v>
      </c>
      <c r="AK14" s="124"/>
      <c r="AL14" s="124"/>
      <c r="AM14" s="124"/>
      <c r="AN14" s="124"/>
      <c r="AO14" s="5">
        <f t="shared" si="10"/>
        <v>0</v>
      </c>
      <c r="AP14" s="6">
        <f t="shared" si="11"/>
        <v>0</v>
      </c>
      <c r="AQ14" s="4" t="s">
        <v>8</v>
      </c>
      <c r="AR14" s="124"/>
      <c r="AS14" s="124"/>
      <c r="AT14" s="124"/>
      <c r="AU14" s="124"/>
      <c r="AV14" s="5">
        <f t="shared" si="12"/>
        <v>0</v>
      </c>
      <c r="AW14" s="6">
        <f t="shared" si="13"/>
        <v>0</v>
      </c>
      <c r="AX14" s="4" t="s">
        <v>8</v>
      </c>
      <c r="AY14" s="124"/>
      <c r="AZ14" s="124"/>
      <c r="BA14" s="124"/>
      <c r="BB14" s="124"/>
      <c r="BC14" s="5">
        <f t="shared" si="14"/>
        <v>0</v>
      </c>
      <c r="BD14" s="6">
        <f t="shared" si="15"/>
        <v>0</v>
      </c>
    </row>
    <row r="15" spans="1:56" x14ac:dyDescent="0.25">
      <c r="A15" s="4" t="s">
        <v>9</v>
      </c>
      <c r="B15" s="124"/>
      <c r="C15" s="124"/>
      <c r="D15" s="124"/>
      <c r="E15" s="124"/>
      <c r="F15" s="5">
        <f t="shared" si="0"/>
        <v>0</v>
      </c>
      <c r="G15" s="6">
        <f t="shared" si="1"/>
        <v>0</v>
      </c>
      <c r="H15" s="4" t="s">
        <v>9</v>
      </c>
      <c r="I15" s="124"/>
      <c r="J15" s="124"/>
      <c r="K15" s="124"/>
      <c r="L15" s="124"/>
      <c r="M15" s="5">
        <f t="shared" si="2"/>
        <v>0</v>
      </c>
      <c r="N15" s="6">
        <f t="shared" si="3"/>
        <v>0</v>
      </c>
      <c r="O15" s="4" t="s">
        <v>9</v>
      </c>
      <c r="P15" s="124"/>
      <c r="Q15" s="124"/>
      <c r="R15" s="124"/>
      <c r="S15" s="124"/>
      <c r="T15" s="5">
        <f t="shared" si="4"/>
        <v>0</v>
      </c>
      <c r="U15" s="6">
        <f t="shared" si="5"/>
        <v>0</v>
      </c>
      <c r="V15" s="4" t="s">
        <v>9</v>
      </c>
      <c r="W15" s="124"/>
      <c r="X15" s="124"/>
      <c r="Y15" s="124"/>
      <c r="Z15" s="124"/>
      <c r="AA15" s="5">
        <f t="shared" si="6"/>
        <v>0</v>
      </c>
      <c r="AB15" s="6">
        <f t="shared" si="7"/>
        <v>0</v>
      </c>
      <c r="AC15" s="4" t="s">
        <v>9</v>
      </c>
      <c r="AD15" s="124"/>
      <c r="AE15" s="124"/>
      <c r="AF15" s="124"/>
      <c r="AG15" s="124"/>
      <c r="AH15" s="5">
        <f t="shared" si="8"/>
        <v>0</v>
      </c>
      <c r="AI15" s="6">
        <f t="shared" si="9"/>
        <v>0</v>
      </c>
      <c r="AJ15" s="4" t="s">
        <v>9</v>
      </c>
      <c r="AK15" s="124"/>
      <c r="AL15" s="124"/>
      <c r="AM15" s="124"/>
      <c r="AN15" s="124"/>
      <c r="AO15" s="5">
        <f t="shared" si="10"/>
        <v>0</v>
      </c>
      <c r="AP15" s="6">
        <f t="shared" si="11"/>
        <v>0</v>
      </c>
      <c r="AQ15" s="4" t="s">
        <v>9</v>
      </c>
      <c r="AR15" s="124"/>
      <c r="AS15" s="124"/>
      <c r="AT15" s="124"/>
      <c r="AU15" s="124"/>
      <c r="AV15" s="5">
        <f t="shared" si="12"/>
        <v>0</v>
      </c>
      <c r="AW15" s="6">
        <f t="shared" si="13"/>
        <v>0</v>
      </c>
      <c r="AX15" s="4" t="s">
        <v>9</v>
      </c>
      <c r="AY15" s="124"/>
      <c r="AZ15" s="124"/>
      <c r="BA15" s="124"/>
      <c r="BB15" s="124"/>
      <c r="BC15" s="5">
        <f t="shared" si="14"/>
        <v>0</v>
      </c>
      <c r="BD15" s="6">
        <f t="shared" si="15"/>
        <v>0</v>
      </c>
    </row>
    <row r="16" spans="1:56" x14ac:dyDescent="0.25">
      <c r="A16" s="4" t="s">
        <v>10</v>
      </c>
      <c r="B16" s="124"/>
      <c r="C16" s="124"/>
      <c r="D16" s="124"/>
      <c r="E16" s="124"/>
      <c r="F16" s="5">
        <f t="shared" si="0"/>
        <v>0</v>
      </c>
      <c r="G16" s="6">
        <f t="shared" si="1"/>
        <v>0</v>
      </c>
      <c r="H16" s="4" t="s">
        <v>10</v>
      </c>
      <c r="I16" s="124"/>
      <c r="J16" s="124"/>
      <c r="K16" s="124"/>
      <c r="L16" s="124"/>
      <c r="M16" s="5">
        <f t="shared" si="2"/>
        <v>0</v>
      </c>
      <c r="N16" s="6">
        <f t="shared" si="3"/>
        <v>0</v>
      </c>
      <c r="O16" s="4" t="s">
        <v>10</v>
      </c>
      <c r="P16" s="124"/>
      <c r="Q16" s="124"/>
      <c r="R16" s="124"/>
      <c r="S16" s="124"/>
      <c r="T16" s="5">
        <f t="shared" si="4"/>
        <v>0</v>
      </c>
      <c r="U16" s="6">
        <f t="shared" si="5"/>
        <v>0</v>
      </c>
      <c r="V16" s="4" t="s">
        <v>10</v>
      </c>
      <c r="W16" s="124"/>
      <c r="X16" s="124"/>
      <c r="Y16" s="124"/>
      <c r="Z16" s="124"/>
      <c r="AA16" s="5">
        <f t="shared" si="6"/>
        <v>0</v>
      </c>
      <c r="AB16" s="6">
        <f t="shared" si="7"/>
        <v>0</v>
      </c>
      <c r="AC16" s="4" t="s">
        <v>10</v>
      </c>
      <c r="AD16" s="124"/>
      <c r="AE16" s="124"/>
      <c r="AF16" s="124"/>
      <c r="AG16" s="124"/>
      <c r="AH16" s="5">
        <f t="shared" si="8"/>
        <v>0</v>
      </c>
      <c r="AI16" s="6">
        <f t="shared" si="9"/>
        <v>0</v>
      </c>
      <c r="AJ16" s="4" t="s">
        <v>10</v>
      </c>
      <c r="AK16" s="124"/>
      <c r="AL16" s="124"/>
      <c r="AM16" s="124"/>
      <c r="AN16" s="124"/>
      <c r="AO16" s="5">
        <f t="shared" si="10"/>
        <v>0</v>
      </c>
      <c r="AP16" s="6">
        <f t="shared" si="11"/>
        <v>0</v>
      </c>
      <c r="AQ16" s="4" t="s">
        <v>10</v>
      </c>
      <c r="AR16" s="124"/>
      <c r="AS16" s="124"/>
      <c r="AT16" s="124"/>
      <c r="AU16" s="124"/>
      <c r="AV16" s="5">
        <f t="shared" si="12"/>
        <v>0</v>
      </c>
      <c r="AW16" s="6">
        <f t="shared" si="13"/>
        <v>0</v>
      </c>
      <c r="AX16" s="4" t="s">
        <v>10</v>
      </c>
      <c r="AY16" s="124"/>
      <c r="AZ16" s="124"/>
      <c r="BA16" s="124"/>
      <c r="BB16" s="124"/>
      <c r="BC16" s="5">
        <f t="shared" si="14"/>
        <v>0</v>
      </c>
      <c r="BD16" s="6">
        <f t="shared" si="15"/>
        <v>0</v>
      </c>
    </row>
    <row r="17" spans="1:56" x14ac:dyDescent="0.25">
      <c r="B17" s="7"/>
      <c r="C17" s="7"/>
      <c r="D17" s="7"/>
      <c r="E17" s="7"/>
      <c r="F17" s="4" t="s">
        <v>56</v>
      </c>
      <c r="G17" s="6">
        <f>SUM(G10:G16)</f>
        <v>0</v>
      </c>
      <c r="I17" s="7"/>
      <c r="J17" s="7"/>
      <c r="K17" s="7"/>
      <c r="L17" s="7"/>
      <c r="M17" s="4" t="s">
        <v>56</v>
      </c>
      <c r="N17" s="6">
        <f>SUM(N10:N16)</f>
        <v>0</v>
      </c>
      <c r="P17" s="7"/>
      <c r="Q17" s="7"/>
      <c r="R17" s="7"/>
      <c r="S17" s="7"/>
      <c r="T17" s="4" t="s">
        <v>56</v>
      </c>
      <c r="U17" s="6">
        <f>SUM(U10:U16)</f>
        <v>0</v>
      </c>
      <c r="W17" s="7"/>
      <c r="X17" s="7"/>
      <c r="Y17" s="7"/>
      <c r="Z17" s="7"/>
      <c r="AA17" s="4" t="s">
        <v>56</v>
      </c>
      <c r="AB17" s="6">
        <f>SUM(AB10:AB16)</f>
        <v>0</v>
      </c>
      <c r="AD17" s="7"/>
      <c r="AE17" s="7"/>
      <c r="AF17" s="7"/>
      <c r="AG17" s="7"/>
      <c r="AH17" s="4" t="s">
        <v>56</v>
      </c>
      <c r="AI17" s="6">
        <f>SUM(AI10:AI16)</f>
        <v>0</v>
      </c>
      <c r="AK17" s="7"/>
      <c r="AL17" s="7"/>
      <c r="AM17" s="7"/>
      <c r="AN17" s="7"/>
      <c r="AO17" s="4" t="s">
        <v>56</v>
      </c>
      <c r="AP17" s="6">
        <f>SUM(AP10:AP16)</f>
        <v>0</v>
      </c>
      <c r="AR17" s="7"/>
      <c r="AS17" s="7"/>
      <c r="AT17" s="7"/>
      <c r="AU17" s="7"/>
      <c r="AV17" s="4" t="s">
        <v>56</v>
      </c>
      <c r="AW17" s="6">
        <f>SUM(AW10:AW16)</f>
        <v>0</v>
      </c>
      <c r="AY17" s="7"/>
      <c r="AZ17" s="7"/>
      <c r="BA17" s="7"/>
      <c r="BB17" s="7"/>
      <c r="BC17" s="4" t="s">
        <v>56</v>
      </c>
      <c r="BD17" s="6">
        <f>SUM(BD10:BD16)</f>
        <v>0</v>
      </c>
    </row>
    <row r="19" spans="1:56" x14ac:dyDescent="0.25">
      <c r="B19" s="8"/>
      <c r="C19" s="9"/>
      <c r="D19" s="9"/>
      <c r="E19" s="9"/>
      <c r="F19" s="10" t="s">
        <v>11</v>
      </c>
      <c r="G19" s="11">
        <f>+IF(G17&gt;=45,45,G17)</f>
        <v>0</v>
      </c>
      <c r="I19" s="8"/>
      <c r="J19" s="9"/>
      <c r="K19" s="9"/>
      <c r="L19" s="9"/>
      <c r="M19" s="10" t="s">
        <v>11</v>
      </c>
      <c r="N19" s="11">
        <f>+IF(N17&gt;=45,45,N17)</f>
        <v>0</v>
      </c>
      <c r="P19" s="8"/>
      <c r="Q19" s="9"/>
      <c r="R19" s="9"/>
      <c r="S19" s="9"/>
      <c r="T19" s="10" t="s">
        <v>11</v>
      </c>
      <c r="U19" s="11">
        <f>+IF(U17&gt;=45,45,U17)</f>
        <v>0</v>
      </c>
      <c r="W19" s="8"/>
      <c r="X19" s="9"/>
      <c r="Y19" s="9"/>
      <c r="Z19" s="9"/>
      <c r="AA19" s="10" t="s">
        <v>11</v>
      </c>
      <c r="AB19" s="11">
        <f>+IF(AB17&gt;=45,45,AB17)</f>
        <v>0</v>
      </c>
      <c r="AD19" s="8"/>
      <c r="AE19" s="9"/>
      <c r="AF19" s="9"/>
      <c r="AG19" s="9"/>
      <c r="AH19" s="10" t="s">
        <v>11</v>
      </c>
      <c r="AI19" s="11">
        <f>+IF(AI17&gt;=45,45,AI17)</f>
        <v>0</v>
      </c>
      <c r="AK19" s="8"/>
      <c r="AL19" s="9"/>
      <c r="AM19" s="9"/>
      <c r="AN19" s="9"/>
      <c r="AO19" s="10" t="s">
        <v>11</v>
      </c>
      <c r="AP19" s="11">
        <f>+IF(AP17&gt;=45,45,AP17)</f>
        <v>0</v>
      </c>
      <c r="AR19" s="8"/>
      <c r="AS19" s="9"/>
      <c r="AT19" s="9"/>
      <c r="AU19" s="9"/>
      <c r="AV19" s="10" t="s">
        <v>11</v>
      </c>
      <c r="AW19" s="11">
        <f>+IF(AW17&gt;=45,45,AW17)</f>
        <v>0</v>
      </c>
      <c r="AY19" s="8"/>
      <c r="AZ19" s="9"/>
      <c r="BA19" s="9"/>
      <c r="BB19" s="9"/>
      <c r="BC19" s="10" t="s">
        <v>11</v>
      </c>
      <c r="BD19" s="11">
        <f>+IF(BD17&gt;=45,45,BD17)</f>
        <v>0</v>
      </c>
    </row>
    <row r="20" spans="1:56" x14ac:dyDescent="0.25">
      <c r="B20" s="12"/>
      <c r="C20" s="13"/>
      <c r="D20" s="13"/>
      <c r="E20" s="13"/>
      <c r="F20" s="14" t="s">
        <v>12</v>
      </c>
      <c r="G20" s="11">
        <f>+IF(G17&gt;45,G17-45,0)</f>
        <v>0</v>
      </c>
      <c r="I20" s="12"/>
      <c r="J20" s="13"/>
      <c r="K20" s="13"/>
      <c r="L20" s="13"/>
      <c r="M20" s="14" t="s">
        <v>12</v>
      </c>
      <c r="N20" s="11">
        <f>+IF(N17&gt;45,N17-45,0)</f>
        <v>0</v>
      </c>
      <c r="P20" s="12"/>
      <c r="Q20" s="13"/>
      <c r="R20" s="13"/>
      <c r="S20" s="13"/>
      <c r="T20" s="14" t="s">
        <v>12</v>
      </c>
      <c r="U20" s="11">
        <f>+IF(U17&gt;45,U17-45,0)</f>
        <v>0</v>
      </c>
      <c r="W20" s="12"/>
      <c r="X20" s="13"/>
      <c r="Y20" s="13"/>
      <c r="Z20" s="13"/>
      <c r="AA20" s="14" t="s">
        <v>12</v>
      </c>
      <c r="AB20" s="11">
        <f>+IF(AB17&gt;45,AB17-45,0)</f>
        <v>0</v>
      </c>
      <c r="AD20" s="12"/>
      <c r="AE20" s="13"/>
      <c r="AF20" s="13"/>
      <c r="AG20" s="13"/>
      <c r="AH20" s="14" t="s">
        <v>12</v>
      </c>
      <c r="AI20" s="11">
        <f>+IF(AI17&gt;45,AI17-45,0)</f>
        <v>0</v>
      </c>
      <c r="AK20" s="12"/>
      <c r="AL20" s="13"/>
      <c r="AM20" s="13"/>
      <c r="AN20" s="13"/>
      <c r="AO20" s="14" t="s">
        <v>12</v>
      </c>
      <c r="AP20" s="11">
        <f>+IF(AP17&gt;45,AP17-45,0)</f>
        <v>0</v>
      </c>
      <c r="AR20" s="12"/>
      <c r="AS20" s="13"/>
      <c r="AT20" s="13"/>
      <c r="AU20" s="13"/>
      <c r="AV20" s="14" t="s">
        <v>12</v>
      </c>
      <c r="AW20" s="11">
        <f>+IF(AW17&gt;45,AW17-45,0)</f>
        <v>0</v>
      </c>
      <c r="AY20" s="12"/>
      <c r="AZ20" s="13"/>
      <c r="BA20" s="13"/>
      <c r="BB20" s="13"/>
      <c r="BC20" s="14" t="s">
        <v>12</v>
      </c>
      <c r="BD20" s="11">
        <f>+IF(BD17&gt;45,BD17-45,0)</f>
        <v>0</v>
      </c>
    </row>
    <row r="22" spans="1:56" x14ac:dyDescent="0.25">
      <c r="B22" s="8"/>
      <c r="C22" s="9"/>
      <c r="D22" s="9"/>
      <c r="E22" s="9"/>
      <c r="F22" s="15" t="s">
        <v>13</v>
      </c>
      <c r="G22" s="125"/>
      <c r="I22" s="8"/>
      <c r="J22" s="9"/>
      <c r="K22" s="9"/>
      <c r="L22" s="9"/>
      <c r="M22" s="15" t="s">
        <v>13</v>
      </c>
      <c r="N22" s="125"/>
      <c r="P22" s="8"/>
      <c r="Q22" s="9"/>
      <c r="R22" s="9"/>
      <c r="S22" s="9"/>
      <c r="T22" s="15" t="s">
        <v>13</v>
      </c>
      <c r="U22" s="125"/>
      <c r="W22" s="8"/>
      <c r="X22" s="9"/>
      <c r="Y22" s="9"/>
      <c r="Z22" s="9"/>
      <c r="AA22" s="15" t="s">
        <v>13</v>
      </c>
      <c r="AB22" s="125"/>
      <c r="AD22" s="8"/>
      <c r="AE22" s="9"/>
      <c r="AF22" s="9"/>
      <c r="AG22" s="9"/>
      <c r="AH22" s="15" t="s">
        <v>13</v>
      </c>
      <c r="AI22" s="125"/>
      <c r="AK22" s="8"/>
      <c r="AL22" s="9"/>
      <c r="AM22" s="9"/>
      <c r="AN22" s="9"/>
      <c r="AO22" s="15" t="s">
        <v>13</v>
      </c>
      <c r="AP22" s="125"/>
      <c r="AR22" s="8"/>
      <c r="AS22" s="9"/>
      <c r="AT22" s="9"/>
      <c r="AU22" s="9"/>
      <c r="AV22" s="15" t="s">
        <v>13</v>
      </c>
      <c r="AW22" s="125"/>
      <c r="AY22" s="8"/>
      <c r="AZ22" s="9"/>
      <c r="BA22" s="9"/>
      <c r="BB22" s="9"/>
      <c r="BC22" s="15" t="s">
        <v>13</v>
      </c>
      <c r="BD22" s="125"/>
    </row>
    <row r="24" spans="1:56" x14ac:dyDescent="0.25">
      <c r="B24" s="8"/>
      <c r="C24" s="9"/>
      <c r="D24" s="9"/>
      <c r="E24" s="9"/>
      <c r="F24" s="10" t="s">
        <v>14</v>
      </c>
      <c r="G24" s="11">
        <f>+G19*G22</f>
        <v>0</v>
      </c>
      <c r="I24" s="8"/>
      <c r="J24" s="9"/>
      <c r="K24" s="9"/>
      <c r="L24" s="9"/>
      <c r="M24" s="10" t="s">
        <v>14</v>
      </c>
      <c r="N24" s="11">
        <f>+N19*N22</f>
        <v>0</v>
      </c>
      <c r="P24" s="8"/>
      <c r="Q24" s="9"/>
      <c r="R24" s="9"/>
      <c r="S24" s="9"/>
      <c r="T24" s="10" t="s">
        <v>14</v>
      </c>
      <c r="U24" s="11">
        <f>+U19*U22</f>
        <v>0</v>
      </c>
      <c r="W24" s="8"/>
      <c r="X24" s="9"/>
      <c r="Y24" s="9"/>
      <c r="Z24" s="9"/>
      <c r="AA24" s="10" t="s">
        <v>14</v>
      </c>
      <c r="AB24" s="11">
        <f>+AB19*AB22</f>
        <v>0</v>
      </c>
      <c r="AD24" s="8"/>
      <c r="AE24" s="9"/>
      <c r="AF24" s="9"/>
      <c r="AG24" s="9"/>
      <c r="AH24" s="10" t="s">
        <v>14</v>
      </c>
      <c r="AI24" s="11">
        <f>+AI19*AI22</f>
        <v>0</v>
      </c>
      <c r="AK24" s="8"/>
      <c r="AL24" s="9"/>
      <c r="AM24" s="9"/>
      <c r="AN24" s="9"/>
      <c r="AO24" s="10" t="s">
        <v>14</v>
      </c>
      <c r="AP24" s="11">
        <f>+AP19*AP22</f>
        <v>0</v>
      </c>
      <c r="AR24" s="8"/>
      <c r="AS24" s="9"/>
      <c r="AT24" s="9"/>
      <c r="AU24" s="9"/>
      <c r="AV24" s="10" t="s">
        <v>14</v>
      </c>
      <c r="AW24" s="11">
        <f>+AW19*AW22</f>
        <v>0</v>
      </c>
      <c r="AY24" s="8"/>
      <c r="AZ24" s="9"/>
      <c r="BA24" s="9"/>
      <c r="BB24" s="9"/>
      <c r="BC24" s="10" t="s">
        <v>14</v>
      </c>
      <c r="BD24" s="11">
        <f>+BD19*BD22</f>
        <v>0</v>
      </c>
    </row>
    <row r="25" spans="1:56" x14ac:dyDescent="0.25">
      <c r="B25" s="12"/>
      <c r="C25" s="13"/>
      <c r="D25" s="13"/>
      <c r="E25" s="13"/>
      <c r="F25" s="14" t="s">
        <v>15</v>
      </c>
      <c r="G25" s="11">
        <f>+G20*G22</f>
        <v>0</v>
      </c>
      <c r="I25" s="12"/>
      <c r="J25" s="13"/>
      <c r="K25" s="13"/>
      <c r="L25" s="13"/>
      <c r="M25" s="14" t="s">
        <v>15</v>
      </c>
      <c r="N25" s="11">
        <f>+N20*N22</f>
        <v>0</v>
      </c>
      <c r="P25" s="12"/>
      <c r="Q25" s="13"/>
      <c r="R25" s="13"/>
      <c r="S25" s="13"/>
      <c r="T25" s="14" t="s">
        <v>15</v>
      </c>
      <c r="U25" s="11">
        <f>+U20*U22</f>
        <v>0</v>
      </c>
      <c r="W25" s="12"/>
      <c r="X25" s="13"/>
      <c r="Y25" s="13"/>
      <c r="Z25" s="13"/>
      <c r="AA25" s="14" t="s">
        <v>15</v>
      </c>
      <c r="AB25" s="11">
        <f>+AB20*AB22</f>
        <v>0</v>
      </c>
      <c r="AD25" s="12"/>
      <c r="AE25" s="13"/>
      <c r="AF25" s="13"/>
      <c r="AG25" s="13"/>
      <c r="AH25" s="14" t="s">
        <v>15</v>
      </c>
      <c r="AI25" s="11">
        <f>+AI20*AI22</f>
        <v>0</v>
      </c>
      <c r="AK25" s="12"/>
      <c r="AL25" s="13"/>
      <c r="AM25" s="13"/>
      <c r="AN25" s="13"/>
      <c r="AO25" s="14" t="s">
        <v>15</v>
      </c>
      <c r="AP25" s="11">
        <f>+AP20*AP22</f>
        <v>0</v>
      </c>
      <c r="AR25" s="12"/>
      <c r="AS25" s="13"/>
      <c r="AT25" s="13"/>
      <c r="AU25" s="13"/>
      <c r="AV25" s="14" t="s">
        <v>15</v>
      </c>
      <c r="AW25" s="11">
        <f>+AW20*AW22</f>
        <v>0</v>
      </c>
      <c r="AY25" s="12"/>
      <c r="AZ25" s="13"/>
      <c r="BA25" s="13"/>
      <c r="BB25" s="13"/>
      <c r="BC25" s="14" t="s">
        <v>15</v>
      </c>
      <c r="BD25" s="11">
        <f>+BD20*BD22</f>
        <v>0</v>
      </c>
    </row>
    <row r="27" spans="1:56" x14ac:dyDescent="0.25">
      <c r="B27" s="8"/>
      <c r="C27" s="9"/>
      <c r="D27" s="9"/>
      <c r="E27" s="9"/>
      <c r="F27" s="10" t="s">
        <v>48</v>
      </c>
      <c r="G27" s="40">
        <f>+COUNTIF(G10:G16,"&gt;0,001")*G22</f>
        <v>0</v>
      </c>
      <c r="I27" s="8"/>
      <c r="J27" s="9"/>
      <c r="K27" s="9"/>
      <c r="L27" s="9"/>
      <c r="M27" s="10" t="s">
        <v>48</v>
      </c>
      <c r="N27" s="40">
        <f>+COUNTIF(N10:N16,"&gt;0,001")*N22</f>
        <v>0</v>
      </c>
      <c r="P27" s="8"/>
      <c r="Q27" s="9"/>
      <c r="R27" s="9"/>
      <c r="S27" s="9"/>
      <c r="T27" s="10" t="s">
        <v>48</v>
      </c>
      <c r="U27" s="40">
        <f>+COUNTIF(U10:U16,"&gt;0,001")*U22</f>
        <v>0</v>
      </c>
      <c r="W27" s="8"/>
      <c r="X27" s="9"/>
      <c r="Y27" s="9"/>
      <c r="Z27" s="9"/>
      <c r="AA27" s="10" t="s">
        <v>48</v>
      </c>
      <c r="AB27" s="40">
        <f>+COUNTIF(AB10:AB16,"&gt;0,001")*AB22</f>
        <v>0</v>
      </c>
      <c r="AD27" s="8"/>
      <c r="AE27" s="9"/>
      <c r="AF27" s="9"/>
      <c r="AG27" s="9"/>
      <c r="AH27" s="10" t="s">
        <v>48</v>
      </c>
      <c r="AI27" s="40">
        <f>+COUNTIF(AI10:AI16,"&gt;0,001")*AI22</f>
        <v>0</v>
      </c>
      <c r="AK27" s="8"/>
      <c r="AL27" s="9"/>
      <c r="AM27" s="9"/>
      <c r="AN27" s="9"/>
      <c r="AO27" s="10" t="s">
        <v>48</v>
      </c>
      <c r="AP27" s="40">
        <f>+COUNTIF(AP10:AP16,"&gt;0,001")*AP22</f>
        <v>0</v>
      </c>
      <c r="AR27" s="8"/>
      <c r="AS27" s="9"/>
      <c r="AT27" s="9"/>
      <c r="AU27" s="9"/>
      <c r="AV27" s="10" t="s">
        <v>48</v>
      </c>
      <c r="AW27" s="40">
        <f>+COUNTIF(AW10:AW16,"&gt;0,001")*AW22</f>
        <v>0</v>
      </c>
      <c r="AY27" s="8"/>
      <c r="AZ27" s="9"/>
      <c r="BA27" s="9"/>
      <c r="BB27" s="9"/>
      <c r="BC27" s="10" t="s">
        <v>48</v>
      </c>
      <c r="BD27" s="40">
        <f>+COUNTIF(BD10:BD16,"&gt;0,001")*BD22</f>
        <v>0</v>
      </c>
    </row>
    <row r="28" spans="1:56" x14ac:dyDescent="0.25">
      <c r="F28" s="1"/>
      <c r="G28" s="20"/>
      <c r="M28" s="1"/>
      <c r="N28" s="20"/>
      <c r="T28" s="1"/>
      <c r="U28" s="20"/>
      <c r="AA28" s="1"/>
      <c r="AB28" s="20"/>
      <c r="AH28" s="1"/>
      <c r="AI28" s="20"/>
      <c r="AO28" s="1"/>
      <c r="AP28" s="20"/>
      <c r="AV28" s="1"/>
      <c r="AW28" s="20"/>
      <c r="BC28" s="1"/>
      <c r="BD28" s="20"/>
    </row>
    <row r="30" spans="1:56" ht="18.75" x14ac:dyDescent="0.3">
      <c r="A30" s="186" t="s">
        <v>24</v>
      </c>
      <c r="B30" s="187"/>
      <c r="C30" s="187"/>
      <c r="D30" s="187"/>
      <c r="E30" s="187"/>
      <c r="F30" s="187"/>
      <c r="G30" s="188"/>
      <c r="M30" s="225" t="s">
        <v>86</v>
      </c>
      <c r="N30" s="226" t="s">
        <v>71</v>
      </c>
    </row>
    <row r="32" spans="1:56" x14ac:dyDescent="0.25">
      <c r="F32" s="1" t="s">
        <v>13</v>
      </c>
      <c r="G32" s="16">
        <f>+G22+N22+U22+AB22+AI22+AP22+AW22+BD22</f>
        <v>0</v>
      </c>
      <c r="M32" s="1" t="s">
        <v>26</v>
      </c>
      <c r="N32" s="57">
        <f ca="1">+IF(N30="NON",VLOOKUP(D5,base,2,TRUE),VLOOKUP(D5,base,3,TRUE))</f>
        <v>0.88200000000000001</v>
      </c>
    </row>
    <row r="34" spans="1:14" x14ac:dyDescent="0.25">
      <c r="F34" s="1" t="s">
        <v>25</v>
      </c>
      <c r="G34" s="17" t="str">
        <f>+IF(G32=52,"COMPLETE", IF(G32&lt;47,"INCOMPLETE","ERREUR"))</f>
        <v>INCOMPLETE</v>
      </c>
    </row>
    <row r="36" spans="1:14" x14ac:dyDescent="0.25">
      <c r="F36" s="18" t="s">
        <v>57</v>
      </c>
      <c r="G36" s="17">
        <f>+IF(G32=52,52, IF(G32&lt;47,G32,"ERREUR"))</f>
        <v>0</v>
      </c>
      <c r="M36" s="1" t="s">
        <v>29</v>
      </c>
      <c r="N36" s="127">
        <v>0.1</v>
      </c>
    </row>
    <row r="38" spans="1:14" x14ac:dyDescent="0.25">
      <c r="F38" s="1" t="s">
        <v>35</v>
      </c>
      <c r="G38" s="126"/>
      <c r="M38" s="1" t="s">
        <v>31</v>
      </c>
      <c r="N38" s="19">
        <f>+G38*(1+N36)</f>
        <v>0</v>
      </c>
    </row>
    <row r="39" spans="1:14" x14ac:dyDescent="0.25">
      <c r="F39" s="1"/>
    </row>
    <row r="40" spans="1:14" x14ac:dyDescent="0.25">
      <c r="F40" s="1" t="s">
        <v>27</v>
      </c>
      <c r="G40" s="19">
        <f ca="1">+G38*N32</f>
        <v>0</v>
      </c>
      <c r="M40" s="1" t="s">
        <v>36</v>
      </c>
      <c r="N40" s="128"/>
    </row>
    <row r="41" spans="1:14" x14ac:dyDescent="0.25">
      <c r="F41" s="1"/>
      <c r="G41" s="19"/>
    </row>
    <row r="42" spans="1:14" x14ac:dyDescent="0.25">
      <c r="F42" s="1" t="s">
        <v>14</v>
      </c>
      <c r="G42" s="20" t="e">
        <f>(G24+N24+U24+AB24+AI24+AP24+AW24+BD24)*G36/G32</f>
        <v>#DIV/0!</v>
      </c>
      <c r="M42" s="1" t="s">
        <v>62</v>
      </c>
      <c r="N42" s="128"/>
    </row>
    <row r="43" spans="1:14" x14ac:dyDescent="0.25">
      <c r="F43" s="1" t="s">
        <v>15</v>
      </c>
      <c r="G43" s="20" t="e">
        <f>(G25+N25+U25+AB25+AI25+AP25+AW25+BD25)*G36/G32</f>
        <v>#DIV/0!</v>
      </c>
    </row>
    <row r="44" spans="1:14" x14ac:dyDescent="0.25">
      <c r="F44" s="1"/>
      <c r="G44" s="20"/>
      <c r="M44" s="1" t="s">
        <v>63</v>
      </c>
      <c r="N44" s="128"/>
    </row>
    <row r="45" spans="1:14" x14ac:dyDescent="0.25">
      <c r="F45" s="1" t="s">
        <v>48</v>
      </c>
      <c r="G45" s="42">
        <f>+G27+N27+U27+AB27+AI27+AP27+AW27+BD27</f>
        <v>0</v>
      </c>
    </row>
    <row r="46" spans="1:14" x14ac:dyDescent="0.25">
      <c r="F46" s="1"/>
      <c r="G46" s="19"/>
      <c r="M46" s="1" t="s">
        <v>61</v>
      </c>
      <c r="N46" s="128"/>
    </row>
    <row r="47" spans="1:14" ht="18.75" x14ac:dyDescent="0.3">
      <c r="A47" s="186" t="s">
        <v>28</v>
      </c>
      <c r="B47" s="187"/>
      <c r="C47" s="187"/>
      <c r="D47" s="187"/>
      <c r="E47" s="187"/>
      <c r="F47" s="187"/>
      <c r="G47" s="188"/>
    </row>
    <row r="48" spans="1:14" ht="15.75" customHeight="1" x14ac:dyDescent="0.3">
      <c r="A48" s="41"/>
      <c r="B48" s="41"/>
      <c r="C48" s="41"/>
      <c r="D48" s="41"/>
      <c r="E48" s="41"/>
      <c r="F48" s="41"/>
      <c r="G48" s="41"/>
    </row>
    <row r="49" spans="1:7" ht="15.75" customHeight="1" x14ac:dyDescent="0.3">
      <c r="A49" s="41"/>
      <c r="F49" s="1" t="s">
        <v>49</v>
      </c>
      <c r="G49" s="42">
        <f>+G45/12</f>
        <v>0</v>
      </c>
    </row>
    <row r="50" spans="1:7" ht="15.75" customHeight="1" x14ac:dyDescent="0.25"/>
    <row r="51" spans="1:7" x14ac:dyDescent="0.25">
      <c r="F51" s="18" t="s">
        <v>23</v>
      </c>
      <c r="G51" s="21" t="e">
        <f>+G42/12</f>
        <v>#DIV/0!</v>
      </c>
    </row>
    <row r="52" spans="1:7" x14ac:dyDescent="0.25">
      <c r="F52" s="18" t="s">
        <v>12</v>
      </c>
      <c r="G52" s="21" t="e">
        <f>+G43/12</f>
        <v>#DIV/0!</v>
      </c>
    </row>
    <row r="53" spans="1:7" x14ac:dyDescent="0.25">
      <c r="F53" s="1"/>
      <c r="G53" s="22" t="e">
        <f>+G52+G51</f>
        <v>#DIV/0!</v>
      </c>
    </row>
    <row r="55" spans="1:7" x14ac:dyDescent="0.25">
      <c r="E55" s="17"/>
      <c r="F55" s="18" t="s">
        <v>30</v>
      </c>
      <c r="G55" s="23" t="e">
        <f>+(G51*G38)+(G52*N38)</f>
        <v>#DIV/0!</v>
      </c>
    </row>
    <row r="57" spans="1:7" x14ac:dyDescent="0.25">
      <c r="F57" s="1"/>
      <c r="G57" s="152"/>
    </row>
    <row r="59" spans="1:7" x14ac:dyDescent="0.25">
      <c r="F59" s="1"/>
      <c r="G59" s="152"/>
    </row>
    <row r="61" spans="1:7" x14ac:dyDescent="0.25">
      <c r="F61" s="18"/>
      <c r="G61" s="23"/>
    </row>
  </sheetData>
  <sheetProtection algorithmName="SHA-512" hashValue="R2jV0whayaFFf3GQyuU+LuP3DRri43xSTdBj2JJ4ebWh9Ud2o03RHhE4kbO73LrhwnYvHn46966dHKrxxc2Pjw==" saltValue="yTpPdbqo77a4peRwzBMhzg==" spinCount="100000" sheet="1" objects="1" scenarios="1" formatCells="0" formatColumns="0" formatRows="0" insertColumns="0" insertRows="0" insertHyperlinks="0" sort="0" autoFilter="0" pivotTables="0"/>
  <mergeCells count="12">
    <mergeCell ref="A1:N1"/>
    <mergeCell ref="AX8:BD8"/>
    <mergeCell ref="A30:G30"/>
    <mergeCell ref="A47:G47"/>
    <mergeCell ref="D3:F3"/>
    <mergeCell ref="AQ8:AW8"/>
    <mergeCell ref="AJ8:AP8"/>
    <mergeCell ref="AC8:AI8"/>
    <mergeCell ref="V8:AB8"/>
    <mergeCell ref="O8:U8"/>
    <mergeCell ref="H8:N8"/>
    <mergeCell ref="A8:G8"/>
  </mergeCells>
  <conditionalFormatting sqref="B10:E16">
    <cfRule type="notContainsBlanks" dxfId="36" priority="38">
      <formula>LEN(TRIM(B10))&gt;0</formula>
    </cfRule>
  </conditionalFormatting>
  <conditionalFormatting sqref="D3:F3">
    <cfRule type="notContainsBlanks" dxfId="35" priority="39">
      <formula>LEN(TRIM(D3))&gt;0</formula>
    </cfRule>
  </conditionalFormatting>
  <conditionalFormatting sqref="F43 F52">
    <cfRule type="expression" dxfId="34" priority="5">
      <formula>$G$43=0</formula>
    </cfRule>
  </conditionalFormatting>
  <conditionalFormatting sqref="G22">
    <cfRule type="notContainsBlanks" dxfId="33" priority="29">
      <formula>LEN(TRIM(G22))&gt;0</formula>
    </cfRule>
    <cfRule type="cellIs" dxfId="32" priority="30" operator="between">
      <formula>47</formula>
      <formula>51</formula>
    </cfRule>
  </conditionalFormatting>
  <conditionalFormatting sqref="G32">
    <cfRule type="cellIs" dxfId="31" priority="6" operator="greaterThanOrEqual">
      <formula>52.0000001</formula>
    </cfRule>
    <cfRule type="cellIs" dxfId="30" priority="7" operator="between">
      <formula>46.9999999999</formula>
      <formula>51.99999</formula>
    </cfRule>
  </conditionalFormatting>
  <conditionalFormatting sqref="G38">
    <cfRule type="notContainsBlanks" dxfId="29" priority="1">
      <formula>LEN(TRIM(G38))&gt;0</formula>
    </cfRule>
  </conditionalFormatting>
  <conditionalFormatting sqref="G43">
    <cfRule type="cellIs" dxfId="28" priority="4" operator="equal">
      <formula>0</formula>
    </cfRule>
  </conditionalFormatting>
  <conditionalFormatting sqref="G52">
    <cfRule type="cellIs" dxfId="27" priority="3" operator="equal">
      <formula>0</formula>
    </cfRule>
  </conditionalFormatting>
  <conditionalFormatting sqref="G53">
    <cfRule type="expression" dxfId="26" priority="2">
      <formula>$G$52=0</formula>
    </cfRule>
  </conditionalFormatting>
  <conditionalFormatting sqref="I10:L16">
    <cfRule type="notContainsBlanks" dxfId="25" priority="37">
      <formula>LEN(TRIM(I10))&gt;0</formula>
    </cfRule>
  </conditionalFormatting>
  <conditionalFormatting sqref="N22">
    <cfRule type="notContainsBlanks" dxfId="24" priority="27">
      <formula>LEN(TRIM(N22))&gt;0</formula>
    </cfRule>
    <cfRule type="cellIs" dxfId="23" priority="28" operator="between">
      <formula>47</formula>
      <formula>51</formula>
    </cfRule>
  </conditionalFormatting>
  <conditionalFormatting sqref="N36">
    <cfRule type="notContainsBlanks" dxfId="22" priority="14">
      <formula>LEN(TRIM(N36))&gt;0</formula>
    </cfRule>
  </conditionalFormatting>
  <conditionalFormatting sqref="N40">
    <cfRule type="notContainsBlanks" dxfId="21" priority="13">
      <formula>LEN(TRIM(N40))&gt;0</formula>
    </cfRule>
  </conditionalFormatting>
  <conditionalFormatting sqref="N42">
    <cfRule type="notContainsBlanks" dxfId="20" priority="12">
      <formula>LEN(TRIM(N42))&gt;0</formula>
    </cfRule>
  </conditionalFormatting>
  <conditionalFormatting sqref="N44">
    <cfRule type="notContainsBlanks" dxfId="19" priority="11">
      <formula>LEN(TRIM(N44))&gt;0</formula>
    </cfRule>
  </conditionalFormatting>
  <conditionalFormatting sqref="N46">
    <cfRule type="notContainsBlanks" dxfId="18" priority="10">
      <formula>LEN(TRIM(N46))&gt;0</formula>
    </cfRule>
  </conditionalFormatting>
  <conditionalFormatting sqref="P10:S16">
    <cfRule type="notContainsBlanks" dxfId="17" priority="36">
      <formula>LEN(TRIM(P10))&gt;0</formula>
    </cfRule>
  </conditionalFormatting>
  <conditionalFormatting sqref="U22">
    <cfRule type="notContainsBlanks" dxfId="16" priority="25">
      <formula>LEN(TRIM(U22))&gt;0</formula>
    </cfRule>
    <cfRule type="cellIs" dxfId="15" priority="26" operator="between">
      <formula>47</formula>
      <formula>51</formula>
    </cfRule>
  </conditionalFormatting>
  <conditionalFormatting sqref="W10:Z16">
    <cfRule type="notContainsBlanks" dxfId="14" priority="35">
      <formula>LEN(TRIM(W10))&gt;0</formula>
    </cfRule>
  </conditionalFormatting>
  <conditionalFormatting sqref="AB22">
    <cfRule type="notContainsBlanks" dxfId="13" priority="23">
      <formula>LEN(TRIM(AB22))&gt;0</formula>
    </cfRule>
    <cfRule type="cellIs" dxfId="12" priority="24" operator="between">
      <formula>47</formula>
      <formula>51</formula>
    </cfRule>
  </conditionalFormatting>
  <conditionalFormatting sqref="AD10:AG16">
    <cfRule type="notContainsBlanks" dxfId="11" priority="34">
      <formula>LEN(TRIM(AD10))&gt;0</formula>
    </cfRule>
  </conditionalFormatting>
  <conditionalFormatting sqref="AI22">
    <cfRule type="notContainsBlanks" dxfId="10" priority="21">
      <formula>LEN(TRIM(AI22))&gt;0</formula>
    </cfRule>
    <cfRule type="cellIs" dxfId="9" priority="22" operator="between">
      <formula>47</formula>
      <formula>51</formula>
    </cfRule>
  </conditionalFormatting>
  <conditionalFormatting sqref="AK10:AN16">
    <cfRule type="notContainsBlanks" dxfId="8" priority="33">
      <formula>LEN(TRIM(AK10))&gt;0</formula>
    </cfRule>
  </conditionalFormatting>
  <conditionalFormatting sqref="AP22">
    <cfRule type="notContainsBlanks" dxfId="7" priority="19">
      <formula>LEN(TRIM(AP22))&gt;0</formula>
    </cfRule>
    <cfRule type="cellIs" dxfId="6" priority="20" operator="between">
      <formula>47</formula>
      <formula>51</formula>
    </cfRule>
  </conditionalFormatting>
  <conditionalFormatting sqref="AR10:AU16">
    <cfRule type="notContainsBlanks" dxfId="5" priority="32">
      <formula>LEN(TRIM(AR10))&gt;0</formula>
    </cfRule>
  </conditionalFormatting>
  <conditionalFormatting sqref="AW22">
    <cfRule type="notContainsBlanks" dxfId="4" priority="17">
      <formula>LEN(TRIM(AW22))&gt;0</formula>
    </cfRule>
    <cfRule type="cellIs" dxfId="3" priority="18" operator="between">
      <formula>47</formula>
      <formula>51</formula>
    </cfRule>
  </conditionalFormatting>
  <conditionalFormatting sqref="AY10:BB16">
    <cfRule type="notContainsBlanks" dxfId="2" priority="31">
      <formula>LEN(TRIM(AY10))&gt;0</formula>
    </cfRule>
  </conditionalFormatting>
  <conditionalFormatting sqref="BD22">
    <cfRule type="notContainsBlanks" dxfId="1" priority="8">
      <formula>LEN(TRIM(BD22))&gt;0</formula>
    </cfRule>
    <cfRule type="cellIs" dxfId="0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00000000-0002-0000-0000-000000000000}"/>
    <dataValidation type="list" allowBlank="1" showInputMessage="1" showErrorMessage="1" sqref="N30" xr:uid="{00000000-0002-0000-0000-000001000000}">
      <formula1>"OUI,NON"</formula1>
    </dataValidation>
  </dataValidations>
  <printOptions horizontalCentered="1"/>
  <pageMargins left="0.25" right="0.25" top="0.75" bottom="0.75" header="0.3" footer="0.3"/>
  <pageSetup paperSize="9" scale="53" orientation="portrait" horizontalDpi="1200" verticalDpi="1200" r:id="rId1"/>
  <headerFooter>
    <oddFooter>Page &amp;P</oddFooter>
  </headerFooter>
  <colBreaks count="1" manualBreakCount="1">
    <brk id="14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AF39"/>
  <sheetViews>
    <sheetView showGridLines="0" topLeftCell="A15" zoomScaleNormal="100" workbookViewId="0">
      <selection activeCell="D12" sqref="D12"/>
    </sheetView>
  </sheetViews>
  <sheetFormatPr baseColWidth="10" defaultRowHeight="15" x14ac:dyDescent="0.25"/>
  <cols>
    <col min="5" max="5" width="13.7109375" customWidth="1"/>
    <col min="21" max="23" width="11.42578125" customWidth="1"/>
    <col min="24" max="26" width="13.140625" customWidth="1"/>
    <col min="27" max="29" width="11.42578125" customWidth="1"/>
    <col min="30" max="31" width="11.85546875" customWidth="1"/>
    <col min="32" max="32" width="11.42578125" customWidth="1"/>
  </cols>
  <sheetData>
    <row r="2" spans="1:32" ht="15.75" x14ac:dyDescent="0.25">
      <c r="B2" s="190" t="s">
        <v>60</v>
      </c>
      <c r="C2" s="190"/>
      <c r="D2" s="190"/>
      <c r="E2" s="190"/>
      <c r="F2" s="190"/>
      <c r="G2" s="190"/>
      <c r="H2" s="190"/>
      <c r="I2" s="190"/>
      <c r="J2" s="190"/>
    </row>
    <row r="3" spans="1:32" x14ac:dyDescent="0.25">
      <c r="V3" s="60"/>
      <c r="W3" s="61" t="s">
        <v>74</v>
      </c>
      <c r="X3" s="62" t="s">
        <v>72</v>
      </c>
      <c r="Y3" s="62" t="s">
        <v>73</v>
      </c>
      <c r="Z3" s="62"/>
      <c r="AC3" s="18" t="s">
        <v>84</v>
      </c>
      <c r="AD3" s="53" t="s">
        <v>72</v>
      </c>
      <c r="AE3" s="53" t="s">
        <v>73</v>
      </c>
      <c r="AF3" s="53"/>
    </row>
    <row r="4" spans="1:32" x14ac:dyDescent="0.25">
      <c r="B4" s="191" t="s">
        <v>52</v>
      </c>
      <c r="C4" s="191"/>
      <c r="D4" s="191"/>
      <c r="E4" s="191"/>
      <c r="F4" s="191"/>
      <c r="G4" s="191"/>
      <c r="H4" s="191"/>
      <c r="I4" s="191"/>
      <c r="J4" s="191"/>
      <c r="V4" s="60"/>
      <c r="W4" s="63" t="s">
        <v>75</v>
      </c>
      <c r="X4" s="64">
        <f ca="1">+VLOOKUP(Mensualisation!$D$5,base,4,TRUE)</f>
        <v>23903</v>
      </c>
      <c r="Y4" s="64">
        <f ca="1">+VLOOKUP(Mensualisation!$D$5,base,5,TRUE)</f>
        <v>53119</v>
      </c>
      <c r="Z4" s="65"/>
      <c r="AC4" s="1" t="s">
        <v>75</v>
      </c>
      <c r="AD4" s="55">
        <f ca="1">+X4*(1+$X$9)</f>
        <v>33464.199999999997</v>
      </c>
      <c r="AE4" s="55">
        <f ca="1">+Y4*(1+$X$9)</f>
        <v>74366.599999999991</v>
      </c>
    </row>
    <row r="5" spans="1:32" ht="15.75" x14ac:dyDescent="0.25">
      <c r="B5" s="38"/>
      <c r="C5" s="39"/>
      <c r="D5" s="39"/>
      <c r="E5" s="39"/>
      <c r="F5" s="39"/>
      <c r="G5" s="39"/>
      <c r="H5" s="39"/>
      <c r="I5" s="39"/>
      <c r="J5" s="39"/>
      <c r="V5" s="60"/>
      <c r="W5" s="63" t="s">
        <v>76</v>
      </c>
      <c r="X5" s="64">
        <f ca="1">+VLOOKUP(Mensualisation!$D$5,base,6,TRUE)</f>
        <v>27295</v>
      </c>
      <c r="Y5" s="64">
        <f ca="1">+VLOOKUP(Mensualisation!$D$5,base,7,TRUE)</f>
        <v>60659</v>
      </c>
      <c r="Z5" s="65"/>
      <c r="AC5" s="1" t="s">
        <v>76</v>
      </c>
      <c r="AD5" s="55">
        <f t="shared" ref="AD5:AE6" ca="1" si="0">+X5*(1+$X$9)</f>
        <v>38213</v>
      </c>
      <c r="AE5" s="55">
        <f t="shared" ca="1" si="0"/>
        <v>84922.599999999991</v>
      </c>
    </row>
    <row r="6" spans="1:32" x14ac:dyDescent="0.25">
      <c r="A6" s="192" t="s">
        <v>47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V6" s="60"/>
      <c r="W6" s="63" t="s">
        <v>77</v>
      </c>
      <c r="X6" s="64">
        <f ca="1">+VLOOKUP(Mensualisation!$D$5,base,8,TRUE)</f>
        <v>30687</v>
      </c>
      <c r="Y6" s="64">
        <f ca="1">+VLOOKUP(Mensualisation!$D$5,base,9,TRUE)</f>
        <v>68199</v>
      </c>
      <c r="Z6" s="65"/>
      <c r="AC6" s="1" t="s">
        <v>77</v>
      </c>
      <c r="AD6" s="55">
        <f t="shared" ca="1" si="0"/>
        <v>42961.799999999996</v>
      </c>
      <c r="AE6" s="55">
        <f t="shared" ca="1" si="0"/>
        <v>95478.599999999991</v>
      </c>
    </row>
    <row r="7" spans="1:32" x14ac:dyDescent="0.25">
      <c r="V7" s="60"/>
      <c r="W7" s="63" t="s">
        <v>78</v>
      </c>
      <c r="X7" s="64">
        <f ca="1">+VLOOKUP(Mensualisation!$D$5,base,10,TRUE)</f>
        <v>3392</v>
      </c>
      <c r="Y7" s="64">
        <f ca="1">+VLOOKUP(Mensualisation!$D$5,base,11,TRUE)</f>
        <v>7540</v>
      </c>
      <c r="Z7" s="65"/>
      <c r="AC7" s="1" t="s">
        <v>78</v>
      </c>
      <c r="AD7" s="55">
        <f ca="1">+X7*(1+$X$9)</f>
        <v>4748.7999999999993</v>
      </c>
      <c r="AE7" s="55">
        <f ca="1">+Y7*(1+$X$9)</f>
        <v>10556</v>
      </c>
    </row>
    <row r="8" spans="1:32" x14ac:dyDescent="0.25">
      <c r="V8" s="60"/>
      <c r="W8" s="60"/>
      <c r="X8" s="65"/>
      <c r="Y8" s="65"/>
      <c r="Z8" s="65"/>
    </row>
    <row r="9" spans="1:32" x14ac:dyDescent="0.25">
      <c r="D9" s="24" t="s">
        <v>37</v>
      </c>
      <c r="E9" s="25">
        <f>+Mensualisation!G61</f>
        <v>0</v>
      </c>
      <c r="F9" s="199" t="s">
        <v>59</v>
      </c>
      <c r="G9" s="200"/>
      <c r="H9" s="200"/>
      <c r="I9" s="200"/>
      <c r="J9" s="200"/>
      <c r="K9" s="200"/>
      <c r="V9" s="60"/>
      <c r="W9" s="63" t="s">
        <v>83</v>
      </c>
      <c r="X9" s="66">
        <f ca="1">+VLOOKUP(Mensualisation!$D$5,base,12,TRUE)</f>
        <v>0.4</v>
      </c>
      <c r="Y9" s="65"/>
      <c r="Z9" s="65"/>
    </row>
    <row r="10" spans="1:32" x14ac:dyDescent="0.25">
      <c r="F10" s="47"/>
      <c r="V10" s="60"/>
      <c r="W10" s="60"/>
      <c r="X10" s="65"/>
      <c r="Y10" s="65"/>
      <c r="Z10" s="65"/>
    </row>
    <row r="11" spans="1:32" x14ac:dyDescent="0.25">
      <c r="D11" s="43" t="s">
        <v>51</v>
      </c>
      <c r="E11" s="26">
        <f>+Mensualisation!G49*Mensualisation!N40</f>
        <v>0</v>
      </c>
      <c r="F11" s="46" t="e">
        <f ca="1">+E9+E11+E15</f>
        <v>#DIV/0!</v>
      </c>
      <c r="V11" s="60"/>
      <c r="W11" s="61" t="s">
        <v>79</v>
      </c>
      <c r="X11" s="65"/>
      <c r="Y11" s="65"/>
      <c r="Z11" s="65"/>
      <c r="AC11" s="18" t="s">
        <v>79</v>
      </c>
    </row>
    <row r="12" spans="1:32" x14ac:dyDescent="0.25">
      <c r="D12" s="43" t="s">
        <v>65</v>
      </c>
      <c r="E12" s="26">
        <f>+Mensualisation!G49*Mensualisation!N42</f>
        <v>0</v>
      </c>
      <c r="F12" s="27" t="e">
        <f ca="1">+E9+E11+E15</f>
        <v>#DIV/0!</v>
      </c>
      <c r="G12" s="28"/>
      <c r="V12" s="60"/>
      <c r="W12" s="63" t="s">
        <v>80</v>
      </c>
      <c r="X12" s="64">
        <f ca="1">+VLOOKUP(Mensualisation!$D$5,base,13,TRUE)</f>
        <v>538.27</v>
      </c>
      <c r="Y12" s="64">
        <f ca="1">+VLOOKUP(Mensualisation!$D$5,base,14,TRUE)</f>
        <v>339.42</v>
      </c>
      <c r="Z12" s="64">
        <f ca="1">+VLOOKUP(Mensualisation!$D$5,base,15,TRUE)</f>
        <v>203.62</v>
      </c>
      <c r="AC12" s="1" t="s">
        <v>80</v>
      </c>
      <c r="AD12" s="54">
        <f ca="1">+X12*(1+$X$15)</f>
        <v>699.75099999999998</v>
      </c>
      <c r="AE12" s="54">
        <f t="shared" ref="AE12:AF13" ca="1" si="1">+Y12*(1+$X$15)</f>
        <v>441.24600000000004</v>
      </c>
      <c r="AF12" s="54">
        <f t="shared" ca="1" si="1"/>
        <v>264.70600000000002</v>
      </c>
    </row>
    <row r="13" spans="1:32" x14ac:dyDescent="0.25">
      <c r="D13" s="43" t="s">
        <v>64</v>
      </c>
      <c r="E13" s="26">
        <f>+Mensualisation!G49*Mensualisation!N44</f>
        <v>0</v>
      </c>
      <c r="F13" s="27"/>
      <c r="G13" s="28"/>
      <c r="V13" s="60"/>
      <c r="W13" s="63" t="s">
        <v>81</v>
      </c>
      <c r="X13" s="64">
        <f ca="1">+VLOOKUP(Mensualisation!$D$5,base,16,TRUE)</f>
        <v>269.14</v>
      </c>
      <c r="Y13" s="64">
        <f ca="1">+VLOOKUP(Mensualisation!$D$5,base,17,TRUE)</f>
        <v>169.73</v>
      </c>
      <c r="Z13" s="64">
        <f ca="1">+VLOOKUP(Mensualisation!$D$5,base,18,TRUE)</f>
        <v>101.81</v>
      </c>
      <c r="AC13" s="1" t="s">
        <v>81</v>
      </c>
      <c r="AD13" s="54">
        <f ca="1">+X13*(1+$X$15)</f>
        <v>349.88200000000001</v>
      </c>
      <c r="AE13" s="54">
        <f t="shared" ca="1" si="1"/>
        <v>220.649</v>
      </c>
      <c r="AF13" s="54">
        <f t="shared" ca="1" si="1"/>
        <v>132.35300000000001</v>
      </c>
    </row>
    <row r="14" spans="1:32" x14ac:dyDescent="0.25">
      <c r="D14" s="43" t="s">
        <v>58</v>
      </c>
      <c r="E14" s="26">
        <f>+Mensualisation!G49*Mensualisation!N46</f>
        <v>0</v>
      </c>
      <c r="F14" s="27"/>
      <c r="G14" s="28"/>
      <c r="V14" s="60"/>
      <c r="W14" s="60"/>
      <c r="X14" s="65"/>
      <c r="Y14" s="65"/>
      <c r="Z14" s="65"/>
    </row>
    <row r="15" spans="1:32" x14ac:dyDescent="0.25">
      <c r="D15" s="1" t="s">
        <v>38</v>
      </c>
      <c r="E15" s="26" t="e">
        <f ca="1">+IF(Mensualisation!G36&lt;52,Mensualisation!G55*0.1*Mensualisation!N32,0)</f>
        <v>#DIV/0!</v>
      </c>
      <c r="V15" s="60"/>
      <c r="W15" s="63" t="s">
        <v>82</v>
      </c>
      <c r="X15" s="66">
        <f ca="1">+VLOOKUP(Mensualisation!$D$5,base,19,TRUE)</f>
        <v>0.3</v>
      </c>
      <c r="Y15" s="65"/>
      <c r="Z15" s="65"/>
    </row>
    <row r="16" spans="1:32" x14ac:dyDescent="0.25">
      <c r="J16" s="1" t="s">
        <v>70</v>
      </c>
      <c r="K16" s="56" t="s">
        <v>71</v>
      </c>
    </row>
    <row r="17" spans="1:11" ht="38.25" customHeight="1" x14ac:dyDescent="0.25">
      <c r="C17" s="44"/>
      <c r="D17" s="45" t="s">
        <v>50</v>
      </c>
      <c r="E17" s="32" t="e">
        <f ca="1">SUM(E9:E15)</f>
        <v>#DIV/0!</v>
      </c>
    </row>
    <row r="18" spans="1:11" ht="38.25" customHeight="1" x14ac:dyDescent="0.25"/>
    <row r="19" spans="1:11" ht="15.75" x14ac:dyDescent="0.25">
      <c r="B19" s="190" t="s">
        <v>108</v>
      </c>
      <c r="C19" s="190"/>
      <c r="D19" s="190"/>
      <c r="E19" s="190"/>
      <c r="F19" s="190"/>
      <c r="G19" s="190"/>
      <c r="H19" s="190"/>
      <c r="I19" s="190"/>
      <c r="J19" s="190"/>
      <c r="K19" s="190"/>
    </row>
    <row r="21" spans="1:11" ht="38.25" customHeight="1" x14ac:dyDescent="0.25">
      <c r="A21" s="196" t="s">
        <v>39</v>
      </c>
      <c r="B21" s="196"/>
      <c r="C21" s="196"/>
      <c r="D21" s="196"/>
      <c r="E21" s="197"/>
      <c r="F21" s="197"/>
      <c r="G21" s="197"/>
      <c r="H21" s="197"/>
      <c r="I21" s="29" t="s">
        <v>40</v>
      </c>
      <c r="J21" s="30" t="s">
        <v>41</v>
      </c>
      <c r="K21" s="30" t="s">
        <v>42</v>
      </c>
    </row>
    <row r="22" spans="1:11" ht="38.25" customHeight="1" x14ac:dyDescent="0.25">
      <c r="A22" s="198" t="str">
        <f ca="1">+IF(K16="NON","pour 1 enfant :  "&amp;ROUND(X4,0)&amp;" € *
pour 2 enfants : "&amp;ROUND(X5,0)&amp;" € *
pour 3 enfants : "&amp;ROUND(X6,0)&amp;" € *
Au-delà de 3 enfants : + "&amp;ROUND(X7,0)&amp;" €","pour 1 enfant :  "&amp;ROUND(AD4,0)&amp;" € *
pour 2 enfants : "&amp;ROUND(AD5,0)&amp;" € *
pour 3 enfants : "&amp;ROUND(AD6,0)&amp;" € *
Au-delà de 3 enfants : + "&amp;ROUND(AD7,0)&amp;" €")</f>
        <v>pour 1 enfant :  23903 € *
pour 2 enfants : 27295 € *
pour 3 enfants : 30687 € *
Au-delà de 3 enfants : + 3392 €</v>
      </c>
      <c r="B22" s="198"/>
      <c r="C22" s="198"/>
      <c r="D22" s="198"/>
      <c r="E22" s="194" t="s">
        <v>43</v>
      </c>
      <c r="F22" s="194"/>
      <c r="G22" s="194"/>
      <c r="H22" s="194"/>
      <c r="I22" s="31">
        <f ca="1">+IF(K16="NON",X12,AD12)</f>
        <v>538.27</v>
      </c>
      <c r="J22" s="32" t="e">
        <f ca="1">+IF($F$11-I22&gt;$F$11*0.15,$E$17-I22,$F$11*0.15+$E$12+$E$13)</f>
        <v>#DIV/0!</v>
      </c>
      <c r="K22" s="32" t="e">
        <f ca="1">+J22/((Mensualisation!$G$42+Mensualisation!$G$43)/12)</f>
        <v>#DIV/0!</v>
      </c>
    </row>
    <row r="23" spans="1:11" ht="38.25" customHeight="1" x14ac:dyDescent="0.25">
      <c r="A23" s="198"/>
      <c r="B23" s="198"/>
      <c r="C23" s="198"/>
      <c r="D23" s="198"/>
      <c r="E23" s="195" t="s">
        <v>44</v>
      </c>
      <c r="F23" s="195"/>
      <c r="G23" s="195"/>
      <c r="H23" s="195"/>
      <c r="I23" s="33">
        <f ca="1">+IF(K16="NON",X13,AD13)</f>
        <v>269.14</v>
      </c>
      <c r="J23" s="32" t="e">
        <f ca="1">+IF($F$11-I23&gt;$F$11*0.15,$E$17-I23,$F$11*0.15+$E$12+$E$13)</f>
        <v>#DIV/0!</v>
      </c>
      <c r="K23" s="32" t="e">
        <f ca="1">+J23/((Mensualisation!G42+Mensualisation!G43)/12)</f>
        <v>#DIV/0!</v>
      </c>
    </row>
    <row r="24" spans="1:11" x14ac:dyDescent="0.25">
      <c r="A24" s="34"/>
      <c r="B24" s="34"/>
      <c r="C24" s="34"/>
      <c r="D24" s="34"/>
      <c r="E24" s="34"/>
      <c r="F24" s="34"/>
      <c r="G24" s="34"/>
      <c r="H24" s="34"/>
      <c r="I24" s="34"/>
    </row>
    <row r="26" spans="1:11" ht="38.25" customHeight="1" x14ac:dyDescent="0.25">
      <c r="A26" s="196" t="s">
        <v>45</v>
      </c>
      <c r="B26" s="196"/>
      <c r="C26" s="196"/>
      <c r="D26" s="196"/>
      <c r="E26" s="197"/>
      <c r="F26" s="197"/>
      <c r="G26" s="197"/>
      <c r="H26" s="197"/>
      <c r="I26" s="29" t="s">
        <v>40</v>
      </c>
      <c r="J26" s="30" t="s">
        <v>41</v>
      </c>
      <c r="K26" s="30" t="s">
        <v>42</v>
      </c>
    </row>
    <row r="27" spans="1:11" ht="38.25" customHeight="1" x14ac:dyDescent="0.25">
      <c r="A27" s="193" t="str">
        <f ca="1">+IF(K16="NON","pour 1 enfant :  "&amp;ROUND(Y4,0)&amp;" € *
pour 2 enfants : "&amp;ROUND(Y5,0)&amp;" € *
pour 3 enfants : "&amp;ROUND(Y6,0)&amp;" € *
Au-delà de 3 enfants : + "&amp;ROUND(Y7,0)&amp;" €","pour 1 enfant :  "&amp;ROUND(AE4,0)&amp;" € *
pour 2 enfants : "&amp;ROUND(AE5,0)&amp;" € *
pour 3 enfants : "&amp;ROUND(AE6,0)&amp;" € *
Au-delà de 3 enfants : + "&amp;ROUND(AE7,0)&amp;" €")</f>
        <v>pour 1 enfant :  53119 € *
pour 2 enfants : 60659 € *
pour 3 enfants : 68199 € *
Au-delà de 3 enfants : + 7540 €</v>
      </c>
      <c r="B27" s="193"/>
      <c r="C27" s="193"/>
      <c r="D27" s="193"/>
      <c r="E27" s="194" t="s">
        <v>43</v>
      </c>
      <c r="F27" s="194"/>
      <c r="G27" s="194"/>
      <c r="H27" s="194"/>
      <c r="I27" s="31">
        <f ca="1">+IF(K16="NON",Y12,AE12)</f>
        <v>339.42</v>
      </c>
      <c r="J27" s="32" t="e">
        <f ca="1">+IF($F$11-I27&gt;$F$11*0.15,$E$17-I27,$F$11*0.15+$E$12+$E$13)</f>
        <v>#DIV/0!</v>
      </c>
      <c r="K27" s="32" t="e">
        <f ca="1">+J27/((Mensualisation!$G$42+Mensualisation!$G$43)/12)</f>
        <v>#DIV/0!</v>
      </c>
    </row>
    <row r="28" spans="1:11" ht="38.25" customHeight="1" x14ac:dyDescent="0.25">
      <c r="A28" s="193"/>
      <c r="B28" s="193"/>
      <c r="C28" s="193"/>
      <c r="D28" s="193"/>
      <c r="E28" s="195" t="s">
        <v>44</v>
      </c>
      <c r="F28" s="195"/>
      <c r="G28" s="195"/>
      <c r="H28" s="195"/>
      <c r="I28" s="31">
        <f ca="1">+IF(K16="NON",Y13,AE13)</f>
        <v>169.73</v>
      </c>
      <c r="J28" s="32" t="e">
        <f ca="1">+IF($F$11-I28&gt;$F$11*0.15,$E$17-I28,$F$11*0.15+$E$12+$E$13)</f>
        <v>#DIV/0!</v>
      </c>
      <c r="K28" s="32" t="e">
        <f ca="1">+J28/((Mensualisation!$G$42+Mensualisation!$G$43)/12)</f>
        <v>#DIV/0!</v>
      </c>
    </row>
    <row r="29" spans="1:11" ht="17.25" customHeight="1" x14ac:dyDescent="0.25"/>
    <row r="31" spans="1:11" ht="38.25" x14ac:dyDescent="0.25">
      <c r="A31" s="196" t="s">
        <v>46</v>
      </c>
      <c r="B31" s="196"/>
      <c r="C31" s="196"/>
      <c r="D31" s="196"/>
      <c r="E31" s="197"/>
      <c r="F31" s="197"/>
      <c r="G31" s="197"/>
      <c r="H31" s="197"/>
      <c r="I31" s="29" t="s">
        <v>40</v>
      </c>
      <c r="J31" s="30" t="s">
        <v>41</v>
      </c>
      <c r="K31" s="30" t="s">
        <v>42</v>
      </c>
    </row>
    <row r="32" spans="1:11" ht="30.75" customHeight="1" x14ac:dyDescent="0.25">
      <c r="A32" s="193" t="str">
        <f ca="1">+A27</f>
        <v>pour 1 enfant :  53119 € *
pour 2 enfants : 60659 € *
pour 3 enfants : 68199 € *
Au-delà de 3 enfants : + 7540 €</v>
      </c>
      <c r="B32" s="193"/>
      <c r="C32" s="193"/>
      <c r="D32" s="193"/>
      <c r="E32" s="194" t="s">
        <v>43</v>
      </c>
      <c r="F32" s="194"/>
      <c r="G32" s="194"/>
      <c r="H32" s="194"/>
      <c r="I32" s="31">
        <f ca="1">+IF(K16="NON",Z12,AF12)</f>
        <v>203.62</v>
      </c>
      <c r="J32" s="32" t="e">
        <f ca="1">+IF($F$11-I32&gt;$F$11*0.15,$E$17-I32,$F$11*0.15+$E$12+$E$13)</f>
        <v>#DIV/0!</v>
      </c>
      <c r="K32" s="32" t="e">
        <f ca="1">+J32/((Mensualisation!$G$42+Mensualisation!$G$43)/12)</f>
        <v>#DIV/0!</v>
      </c>
    </row>
    <row r="33" spans="1:11" ht="36" customHeight="1" x14ac:dyDescent="0.25">
      <c r="A33" s="193"/>
      <c r="B33" s="193"/>
      <c r="C33" s="193"/>
      <c r="D33" s="193"/>
      <c r="E33" s="195" t="s">
        <v>44</v>
      </c>
      <c r="F33" s="195"/>
      <c r="G33" s="195"/>
      <c r="H33" s="195"/>
      <c r="I33" s="35">
        <f ca="1">+IF(K16="NON",Z13,AF13)</f>
        <v>101.81</v>
      </c>
      <c r="J33" s="32" t="e">
        <f ca="1">+IF($F$11-I33&gt;$F$11*0.15,$E$17-I33,$F$11*0.15+$E$12+$E$13)</f>
        <v>#DIV/0!</v>
      </c>
      <c r="K33" s="32" t="e">
        <f ca="1">+J33/((Mensualisation!$G$42+Mensualisation!$G$43)/12)</f>
        <v>#DIV/0!</v>
      </c>
    </row>
    <row r="34" spans="1:11" ht="75" customHeight="1" x14ac:dyDescent="0.25">
      <c r="A34" s="36"/>
      <c r="B34" s="201" t="s">
        <v>85</v>
      </c>
      <c r="C34" s="201"/>
      <c r="D34" s="201"/>
      <c r="E34" s="201"/>
      <c r="F34" s="201"/>
      <c r="G34" s="201"/>
      <c r="H34" s="201"/>
      <c r="I34" s="201"/>
      <c r="J34" s="201"/>
    </row>
    <row r="35" spans="1:11" x14ac:dyDescent="0.25">
      <c r="B35" s="52"/>
      <c r="C35" s="52"/>
      <c r="D35" s="52"/>
      <c r="E35" s="52"/>
      <c r="F35" s="52"/>
      <c r="G35" s="52"/>
      <c r="H35" s="52"/>
      <c r="I35" s="52"/>
    </row>
    <row r="36" spans="1:11" x14ac:dyDescent="0.25">
      <c r="A36" s="48"/>
      <c r="B36" s="49"/>
      <c r="C36" s="50" t="s">
        <v>53</v>
      </c>
      <c r="D36" s="50"/>
      <c r="E36" s="50"/>
      <c r="F36" s="50"/>
      <c r="G36" s="50"/>
      <c r="H36" s="50"/>
      <c r="I36" s="50"/>
      <c r="J36" s="50"/>
      <c r="K36" s="49"/>
    </row>
    <row r="37" spans="1:11" x14ac:dyDescent="0.25">
      <c r="A37" s="37"/>
      <c r="B37" s="51" t="s">
        <v>107</v>
      </c>
      <c r="C37" s="51"/>
      <c r="D37" s="51"/>
      <c r="E37" s="51"/>
      <c r="F37" s="51"/>
      <c r="G37" s="51"/>
      <c r="H37" s="51"/>
      <c r="I37" s="51"/>
      <c r="J37" s="51"/>
      <c r="K37" s="51"/>
    </row>
    <row r="38" spans="1:11" x14ac:dyDescent="0.25">
      <c r="A38" s="48"/>
      <c r="B38" s="49"/>
      <c r="C38" s="51" t="s">
        <v>54</v>
      </c>
      <c r="D38" s="49"/>
      <c r="E38" s="49"/>
      <c r="F38" s="49"/>
      <c r="G38" s="49"/>
      <c r="H38" s="49"/>
      <c r="I38" s="49"/>
      <c r="J38" s="49"/>
      <c r="K38" s="49"/>
    </row>
    <row r="39" spans="1:11" x14ac:dyDescent="0.25">
      <c r="B39" s="50" t="s">
        <v>55</v>
      </c>
      <c r="C39" s="50"/>
      <c r="D39" s="50"/>
      <c r="E39" s="50"/>
      <c r="F39" s="50"/>
      <c r="G39" s="50"/>
      <c r="H39" s="50"/>
      <c r="I39" s="50"/>
      <c r="J39" s="50"/>
      <c r="K39" s="50"/>
    </row>
  </sheetData>
  <sheetProtection algorithmName="SHA-512" hashValue="qYzfxBD1PJcIMIDWkF77HS0Z2hDNZSvXz0UVq/Y83mhxFSBdOId6T1DS955VUTb5PCfUFs7wWeqo3ue5YpVeTQ==" saltValue="qb2P0xZJu5DWnF2sNWExSw==" spinCount="100000" sheet="1" objects="1" scenarios="1" formatCells="0" formatColumns="0" formatRows="0" insertColumns="0" insertRows="0" insertHyperlinks="0" sort="0" autoFilter="0" pivotTables="0"/>
  <mergeCells count="21">
    <mergeCell ref="B34:J34"/>
    <mergeCell ref="A26:D26"/>
    <mergeCell ref="E26:H26"/>
    <mergeCell ref="A27:D28"/>
    <mergeCell ref="E27:H27"/>
    <mergeCell ref="E28:H28"/>
    <mergeCell ref="A31:D31"/>
    <mergeCell ref="E31:H31"/>
    <mergeCell ref="B2:J2"/>
    <mergeCell ref="B4:J4"/>
    <mergeCell ref="A6:L6"/>
    <mergeCell ref="B19:K19"/>
    <mergeCell ref="A32:D33"/>
    <mergeCell ref="E32:H32"/>
    <mergeCell ref="E33:H33"/>
    <mergeCell ref="A21:D21"/>
    <mergeCell ref="E21:H21"/>
    <mergeCell ref="A22:D23"/>
    <mergeCell ref="E22:H22"/>
    <mergeCell ref="E23:H23"/>
    <mergeCell ref="F9:K9"/>
  </mergeCells>
  <dataValidations count="1">
    <dataValidation type="list" allowBlank="1" showInputMessage="1" showErrorMessage="1" sqref="K16" xr:uid="{00000000-0002-0000-0100-000000000000}">
      <formula1>"NON,OUI"</formula1>
    </dataValidation>
  </dataValidations>
  <pageMargins left="0.31496062992125984" right="0.31496062992125984" top="0.74803149606299213" bottom="0.74803149606299213" header="0.31496062992125984" footer="0.31496062992125984"/>
  <pageSetup paperSize="9" scale="6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6F1BE-8AAC-4E71-B9CC-4E72A19BA1A1}">
  <sheetPr>
    <tabColor rgb="FFFFFF00"/>
  </sheetPr>
  <dimension ref="A2:AQ96"/>
  <sheetViews>
    <sheetView showGridLines="0" zoomScale="90" zoomScaleNormal="90" workbookViewId="0">
      <selection activeCell="A2" sqref="A2"/>
    </sheetView>
  </sheetViews>
  <sheetFormatPr baseColWidth="10" defaultColWidth="11.42578125" defaultRowHeight="15" x14ac:dyDescent="0.25"/>
  <cols>
    <col min="1" max="1" width="20.7109375" style="60" bestFit="1" customWidth="1"/>
    <col min="2" max="2" width="16" style="60" customWidth="1"/>
    <col min="3" max="3" width="19" style="60" customWidth="1"/>
    <col min="4" max="4" width="25.140625" style="60" customWidth="1"/>
    <col min="5" max="5" width="28.42578125" style="60" customWidth="1"/>
    <col min="6" max="6" width="19.28515625" style="60" customWidth="1"/>
    <col min="7" max="7" width="17.85546875" style="60" customWidth="1"/>
    <col min="8" max="8" width="25" style="60" customWidth="1"/>
    <col min="9" max="9" width="20.7109375" style="60" bestFit="1" customWidth="1"/>
    <col min="10" max="10" width="16" style="60" customWidth="1"/>
    <col min="11" max="11" width="21.85546875" style="60" customWidth="1"/>
    <col min="12" max="12" width="25.85546875" style="60" customWidth="1"/>
    <col min="13" max="13" width="14.28515625" style="60" customWidth="1"/>
    <col min="14" max="14" width="18.140625" style="60" customWidth="1"/>
    <col min="15" max="17" width="11.42578125" style="60"/>
    <col min="18" max="18" width="0" style="60" hidden="1" customWidth="1"/>
    <col min="19" max="23" width="11.42578125" style="60" hidden="1" customWidth="1"/>
    <col min="24" max="24" width="15.28515625" style="60" hidden="1" customWidth="1"/>
    <col min="25" max="29" width="11.42578125" style="60" hidden="1" customWidth="1"/>
    <col min="30" max="30" width="12.85546875" style="60" hidden="1" customWidth="1"/>
    <col min="31" max="32" width="11.42578125" style="60" hidden="1" customWidth="1"/>
    <col min="33" max="33" width="14.7109375" style="60" hidden="1" customWidth="1"/>
    <col min="34" max="34" width="20.140625" style="60" hidden="1" customWidth="1"/>
    <col min="35" max="35" width="20.28515625" style="60" hidden="1" customWidth="1"/>
    <col min="36" max="36" width="18.140625" style="60" hidden="1" customWidth="1"/>
    <col min="37" max="37" width="16.42578125" style="60" hidden="1" customWidth="1"/>
    <col min="38" max="38" width="16.85546875" style="60" hidden="1" customWidth="1"/>
    <col min="39" max="39" width="22.140625" style="60" hidden="1" customWidth="1"/>
    <col min="40" max="42" width="11.42578125" style="60" hidden="1" customWidth="1"/>
    <col min="43" max="55" width="11.42578125" style="60" customWidth="1"/>
    <col min="56" max="16384" width="11.42578125" style="60"/>
  </cols>
  <sheetData>
    <row r="2" spans="1:32" ht="15.75" x14ac:dyDescent="0.25">
      <c r="B2" s="202" t="s">
        <v>60</v>
      </c>
      <c r="C2" s="202"/>
      <c r="D2" s="202"/>
      <c r="E2" s="202"/>
      <c r="F2" s="202"/>
      <c r="G2" s="202"/>
      <c r="H2" s="202"/>
      <c r="I2" s="202"/>
      <c r="J2" s="202"/>
    </row>
    <row r="3" spans="1:32" x14ac:dyDescent="0.25">
      <c r="W3" s="61"/>
      <c r="X3" s="62"/>
      <c r="Y3" s="62"/>
      <c r="Z3" s="62"/>
      <c r="AC3" s="61"/>
      <c r="AD3" s="62"/>
      <c r="AE3" s="62"/>
      <c r="AF3" s="62"/>
    </row>
    <row r="4" spans="1:32" x14ac:dyDescent="0.25">
      <c r="B4" s="203" t="s">
        <v>146</v>
      </c>
      <c r="C4" s="203"/>
      <c r="D4" s="203"/>
      <c r="E4" s="203"/>
      <c r="F4" s="203"/>
      <c r="G4" s="203"/>
      <c r="H4" s="203"/>
      <c r="I4" s="203"/>
      <c r="J4" s="203"/>
      <c r="W4" s="63"/>
      <c r="X4" s="64"/>
      <c r="Y4" s="64"/>
      <c r="Z4" s="65"/>
      <c r="AC4" s="63"/>
      <c r="AD4" s="70"/>
      <c r="AE4" s="70"/>
    </row>
    <row r="5" spans="1:32" ht="15.75" x14ac:dyDescent="0.25">
      <c r="B5" s="69"/>
      <c r="C5" s="71"/>
      <c r="D5" s="71"/>
      <c r="E5" s="71"/>
      <c r="F5" s="71"/>
      <c r="G5" s="71"/>
      <c r="H5" s="71"/>
      <c r="I5" s="71"/>
      <c r="J5" s="71"/>
      <c r="W5" s="63"/>
      <c r="X5" s="64"/>
      <c r="Y5" s="64"/>
      <c r="Z5" s="65"/>
      <c r="AC5" s="63"/>
      <c r="AD5" s="70"/>
      <c r="AE5" s="70"/>
    </row>
    <row r="6" spans="1:32" x14ac:dyDescent="0.25">
      <c r="A6" s="204" t="s">
        <v>47</v>
      </c>
      <c r="B6" s="204"/>
      <c r="C6" s="204"/>
      <c r="D6" s="204"/>
      <c r="E6" s="204"/>
      <c r="F6" s="204"/>
      <c r="G6" s="204"/>
      <c r="H6" s="204"/>
      <c r="I6" s="204"/>
      <c r="J6" s="204"/>
      <c r="K6" s="204"/>
      <c r="L6" s="204"/>
      <c r="W6" s="63"/>
      <c r="X6" s="64"/>
      <c r="Y6" s="64"/>
      <c r="Z6" s="65"/>
      <c r="AC6" s="63"/>
      <c r="AD6" s="70"/>
      <c r="AE6" s="70"/>
    </row>
    <row r="7" spans="1:32" x14ac:dyDescent="0.25">
      <c r="W7" s="63"/>
      <c r="X7" s="64"/>
      <c r="Y7" s="64"/>
      <c r="Z7" s="65"/>
      <c r="AC7" s="63"/>
      <c r="AD7" s="70"/>
      <c r="AE7" s="70"/>
    </row>
    <row r="8" spans="1:32" x14ac:dyDescent="0.25">
      <c r="D8" s="61" t="s">
        <v>147</v>
      </c>
      <c r="E8" s="147" t="e">
        <f>+Mensualisation!G55</f>
        <v>#DIV/0!</v>
      </c>
      <c r="W8" s="63"/>
      <c r="X8" s="64"/>
      <c r="Y8" s="64"/>
      <c r="Z8" s="65"/>
      <c r="AC8" s="63"/>
      <c r="AD8" s="70"/>
      <c r="AE8" s="70"/>
    </row>
    <row r="9" spans="1:32" x14ac:dyDescent="0.25">
      <c r="W9" s="63"/>
      <c r="X9" s="64"/>
      <c r="Y9" s="64"/>
      <c r="Z9" s="65"/>
      <c r="AC9" s="63"/>
      <c r="AD9" s="70"/>
      <c r="AE9" s="70"/>
    </row>
    <row r="10" spans="1:32" x14ac:dyDescent="0.25">
      <c r="D10" s="63" t="s">
        <v>148</v>
      </c>
      <c r="E10" s="84" t="e">
        <f>+Mensualisation!G52*(Mensualisation!N38-Mensualisation!G38)</f>
        <v>#DIV/0!</v>
      </c>
      <c r="W10" s="63"/>
      <c r="X10" s="64"/>
      <c r="Y10" s="64"/>
      <c r="Z10" s="65"/>
      <c r="AC10" s="63"/>
      <c r="AD10" s="70"/>
      <c r="AE10" s="70"/>
    </row>
    <row r="11" spans="1:32" x14ac:dyDescent="0.25">
      <c r="W11" s="63"/>
      <c r="X11" s="64"/>
      <c r="Y11" s="64"/>
      <c r="Z11" s="65"/>
      <c r="AC11" s="63"/>
      <c r="AD11" s="70"/>
      <c r="AE11" s="70"/>
    </row>
    <row r="12" spans="1:32" x14ac:dyDescent="0.25">
      <c r="D12" s="61" t="s">
        <v>149</v>
      </c>
      <c r="E12" s="147" t="e">
        <f>+E10+E8</f>
        <v>#DIV/0!</v>
      </c>
      <c r="W12" s="63"/>
      <c r="X12" s="64"/>
      <c r="Y12" s="64"/>
      <c r="Z12" s="65"/>
      <c r="AC12" s="63"/>
      <c r="AD12" s="70"/>
      <c r="AE12" s="70"/>
    </row>
    <row r="13" spans="1:32" x14ac:dyDescent="0.25">
      <c r="W13" s="63"/>
      <c r="X13" s="64"/>
      <c r="Y13" s="64"/>
      <c r="Z13" s="65"/>
      <c r="AC13" s="63"/>
      <c r="AD13" s="70"/>
      <c r="AE13" s="70"/>
    </row>
    <row r="14" spans="1:32" x14ac:dyDescent="0.25">
      <c r="D14" s="63" t="s">
        <v>150</v>
      </c>
      <c r="E14" s="84" t="e">
        <f ca="1">+E12*Mensualisation!N32</f>
        <v>#DIV/0!</v>
      </c>
      <c r="W14" s="63"/>
      <c r="X14" s="64"/>
      <c r="Y14" s="64"/>
      <c r="Z14" s="65"/>
      <c r="AC14" s="63"/>
      <c r="AD14" s="70"/>
      <c r="AE14" s="70"/>
    </row>
    <row r="15" spans="1:32" x14ac:dyDescent="0.25">
      <c r="W15" s="63"/>
      <c r="X15" s="64"/>
      <c r="Y15" s="64"/>
      <c r="Z15" s="65"/>
      <c r="AC15" s="63"/>
      <c r="AD15" s="70"/>
      <c r="AE15" s="70"/>
    </row>
    <row r="16" spans="1:32" x14ac:dyDescent="0.25">
      <c r="D16" s="63" t="s">
        <v>151</v>
      </c>
      <c r="E16" s="84" t="e">
        <f>+(Mensualisation!G52*Mensualisation!N38*0.1131)</f>
        <v>#DIV/0!</v>
      </c>
      <c r="W16" s="63"/>
      <c r="X16" s="64"/>
      <c r="Y16" s="64"/>
      <c r="Z16" s="65"/>
      <c r="AC16" s="63"/>
      <c r="AD16" s="70"/>
      <c r="AE16" s="70"/>
    </row>
    <row r="17" spans="1:35" x14ac:dyDescent="0.25">
      <c r="X17" s="65"/>
      <c r="Y17" s="65"/>
      <c r="Z17" s="65"/>
    </row>
    <row r="18" spans="1:35" x14ac:dyDescent="0.25">
      <c r="D18" s="72" t="s">
        <v>37</v>
      </c>
      <c r="E18" s="73" t="e">
        <f ca="1">+E16+E14</f>
        <v>#DIV/0!</v>
      </c>
      <c r="F18" s="205" t="s">
        <v>59</v>
      </c>
      <c r="G18" s="206"/>
      <c r="H18" s="206"/>
      <c r="I18" s="206"/>
      <c r="J18" s="206"/>
      <c r="K18" s="206"/>
      <c r="W18" s="63"/>
      <c r="X18" s="66"/>
      <c r="Y18" s="65"/>
      <c r="Z18" s="65"/>
    </row>
    <row r="19" spans="1:35" x14ac:dyDescent="0.25">
      <c r="F19" s="74"/>
      <c r="X19" s="65"/>
      <c r="Y19" s="65"/>
      <c r="Z19" s="65"/>
    </row>
    <row r="20" spans="1:35" x14ac:dyDescent="0.25">
      <c r="D20" s="75" t="s">
        <v>51</v>
      </c>
      <c r="E20" s="76">
        <f>+Mensualisation!G49*Mensualisation!N40</f>
        <v>0</v>
      </c>
      <c r="F20" s="77" t="e">
        <f ca="1">+E18+E20+E24</f>
        <v>#DIV/0!</v>
      </c>
      <c r="W20" s="61"/>
      <c r="X20" s="65"/>
      <c r="Y20" s="65"/>
      <c r="Z20" s="65"/>
      <c r="AC20" s="61"/>
    </row>
    <row r="21" spans="1:35" x14ac:dyDescent="0.25">
      <c r="D21" s="75" t="s">
        <v>65</v>
      </c>
      <c r="E21" s="76">
        <f>+Mensualisation!G49*Mensualisation!N42</f>
        <v>0</v>
      </c>
      <c r="F21" s="78" t="e">
        <f ca="1">+E18+E20+E24</f>
        <v>#DIV/0!</v>
      </c>
      <c r="G21" s="79"/>
      <c r="W21" s="63"/>
      <c r="X21" s="64"/>
      <c r="Y21" s="64"/>
      <c r="Z21" s="64"/>
      <c r="AC21" s="63"/>
      <c r="AD21" s="80"/>
      <c r="AE21" s="80"/>
      <c r="AF21" s="80"/>
    </row>
    <row r="22" spans="1:35" x14ac:dyDescent="0.25">
      <c r="D22" s="75" t="s">
        <v>64</v>
      </c>
      <c r="E22" s="76">
        <f>+Mensualisation!G49*Mensualisation!N44</f>
        <v>0</v>
      </c>
      <c r="F22" s="78"/>
      <c r="G22" s="79"/>
      <c r="W22" s="63"/>
      <c r="X22" s="64"/>
      <c r="Y22" s="64"/>
      <c r="Z22" s="64"/>
      <c r="AC22" s="63"/>
      <c r="AD22" s="80"/>
      <c r="AE22" s="80"/>
      <c r="AF22" s="80"/>
    </row>
    <row r="23" spans="1:35" x14ac:dyDescent="0.25">
      <c r="D23" s="75" t="s">
        <v>58</v>
      </c>
      <c r="E23" s="76">
        <f>+Mensualisation!G49*Mensualisation!N46</f>
        <v>0</v>
      </c>
      <c r="F23" s="78"/>
      <c r="G23" s="79"/>
      <c r="X23" s="65"/>
      <c r="Y23" s="65"/>
      <c r="Z23" s="65"/>
    </row>
    <row r="24" spans="1:35" x14ac:dyDescent="0.25">
      <c r="D24" s="63"/>
      <c r="E24" s="76"/>
      <c r="W24" s="63"/>
      <c r="X24" s="66"/>
      <c r="Y24" s="65"/>
      <c r="Z24" s="65"/>
    </row>
    <row r="25" spans="1:35" x14ac:dyDescent="0.25">
      <c r="J25" s="63"/>
      <c r="K25" s="148"/>
      <c r="AG25" s="63" t="s">
        <v>153</v>
      </c>
      <c r="AH25" s="84">
        <v>8</v>
      </c>
    </row>
    <row r="26" spans="1:35" ht="38.25" customHeight="1" x14ac:dyDescent="0.25">
      <c r="C26" s="81"/>
      <c r="D26" s="82" t="s">
        <v>50</v>
      </c>
      <c r="E26" s="83" t="e">
        <f ca="1">SUM(E18:E24)</f>
        <v>#DIV/0!</v>
      </c>
      <c r="AG26" s="137" t="s">
        <v>154</v>
      </c>
      <c r="AH26" s="81" t="e">
        <f ca="1">ROUND(E18/(E20+E21+E22+E18),2)</f>
        <v>#DIV/0!</v>
      </c>
      <c r="AI26" s="139" t="e">
        <f ca="1">ROUND(E18/(E20+E21+E22+E18),3)</f>
        <v>#DIV/0!</v>
      </c>
    </row>
    <row r="27" spans="1:35" hidden="1" x14ac:dyDescent="0.25">
      <c r="AA27" s="208" t="s">
        <v>120</v>
      </c>
      <c r="AB27" s="208"/>
      <c r="AC27" s="208"/>
    </row>
    <row r="28" spans="1:35" hidden="1" x14ac:dyDescent="0.25">
      <c r="AA28" s="60" t="s">
        <v>123</v>
      </c>
      <c r="AB28" s="62" t="s">
        <v>122</v>
      </c>
      <c r="AC28" s="62" t="s">
        <v>121</v>
      </c>
    </row>
    <row r="29" spans="1:35" x14ac:dyDescent="0.25">
      <c r="W29" s="63" t="s">
        <v>112</v>
      </c>
      <c r="X29" s="84">
        <v>801</v>
      </c>
      <c r="AA29" s="60">
        <v>1</v>
      </c>
      <c r="AB29" s="60">
        <f>+X31</f>
        <v>6.1899999999999998E-4</v>
      </c>
      <c r="AC29" s="60">
        <f>+AB30</f>
        <v>5.1599999999999997E-4</v>
      </c>
      <c r="AG29" s="114" t="s">
        <v>142</v>
      </c>
      <c r="AH29" s="92" t="e">
        <f ca="1">+E33*Mensualisation!G40/Mensualisation!N32</f>
        <v>#DIV/0!</v>
      </c>
    </row>
    <row r="30" spans="1:35" x14ac:dyDescent="0.25">
      <c r="A30" s="81"/>
      <c r="B30" s="81"/>
      <c r="C30" s="81"/>
      <c r="D30" s="87" t="s">
        <v>109</v>
      </c>
      <c r="E30" s="85">
        <v>4.8499999999999996</v>
      </c>
      <c r="F30" s="63" t="s">
        <v>130</v>
      </c>
      <c r="G30" s="85" t="e">
        <f ca="1">MIN(8, E41/E33)</f>
        <v>#DIV/0!</v>
      </c>
      <c r="W30" s="63" t="s">
        <v>113</v>
      </c>
      <c r="X30" s="84">
        <v>8500</v>
      </c>
      <c r="AA30" s="60">
        <v>2</v>
      </c>
      <c r="AB30" s="60">
        <f>+X32</f>
        <v>5.1599999999999997E-4</v>
      </c>
      <c r="AC30" s="60">
        <f t="shared" ref="AC30:AC42" si="0">+AB31</f>
        <v>4.1300000000000001E-4</v>
      </c>
      <c r="AG30" s="114" t="s">
        <v>139</v>
      </c>
      <c r="AH30" s="92" t="e">
        <f ca="1">AH29*(1-Mensualisation!N32)</f>
        <v>#DIV/0!</v>
      </c>
    </row>
    <row r="31" spans="1:35" x14ac:dyDescent="0.25">
      <c r="A31" s="81"/>
      <c r="B31" s="81"/>
      <c r="C31" s="81"/>
      <c r="D31" s="87" t="s">
        <v>110</v>
      </c>
      <c r="W31" s="63" t="s">
        <v>115</v>
      </c>
      <c r="X31" s="60">
        <v>6.1899999999999998E-4</v>
      </c>
      <c r="AA31" s="60">
        <v>3</v>
      </c>
      <c r="AB31" s="60">
        <f>+X33</f>
        <v>4.1300000000000001E-4</v>
      </c>
      <c r="AC31" s="60">
        <f t="shared" si="0"/>
        <v>3.1E-4</v>
      </c>
      <c r="AG31" s="114" t="s">
        <v>140</v>
      </c>
      <c r="AH31" s="92" t="e">
        <f ca="1">+(AH29*28.016/100)+(MIN(5,AH29*2.7/100))</f>
        <v>#DIV/0!</v>
      </c>
    </row>
    <row r="32" spans="1:35" x14ac:dyDescent="0.25">
      <c r="A32" s="81"/>
      <c r="B32" s="81"/>
      <c r="C32" s="81"/>
      <c r="D32" s="81"/>
      <c r="W32" s="63" t="s">
        <v>116</v>
      </c>
      <c r="X32" s="60">
        <v>5.1599999999999997E-4</v>
      </c>
      <c r="AA32" s="60">
        <v>4</v>
      </c>
      <c r="AB32" s="60">
        <f>+$X$34</f>
        <v>3.1E-4</v>
      </c>
      <c r="AC32" s="60">
        <f t="shared" si="0"/>
        <v>3.1E-4</v>
      </c>
      <c r="AG32" s="114"/>
    </row>
    <row r="33" spans="1:37" x14ac:dyDescent="0.25">
      <c r="A33" s="81"/>
      <c r="B33" s="81"/>
      <c r="C33" s="81"/>
      <c r="D33" s="87" t="s">
        <v>124</v>
      </c>
      <c r="E33" s="86" t="e">
        <f>+Mensualisation!G53</f>
        <v>#DIV/0!</v>
      </c>
      <c r="W33" s="63" t="s">
        <v>117</v>
      </c>
      <c r="X33" s="60">
        <v>4.1300000000000001E-4</v>
      </c>
      <c r="AA33" s="60">
        <v>5</v>
      </c>
      <c r="AB33" s="60">
        <f>+$X$34</f>
        <v>3.1E-4</v>
      </c>
      <c r="AC33" s="60">
        <f t="shared" si="0"/>
        <v>3.1E-4</v>
      </c>
      <c r="AG33" s="114" t="s">
        <v>141</v>
      </c>
      <c r="AH33" s="115" t="e">
        <f ca="1">+AH31+AH30</f>
        <v>#DIV/0!</v>
      </c>
    </row>
    <row r="34" spans="1:37" x14ac:dyDescent="0.25">
      <c r="A34" s="81"/>
      <c r="B34" s="81"/>
      <c r="C34" s="81"/>
      <c r="D34" s="81"/>
      <c r="W34" s="63" t="s">
        <v>118</v>
      </c>
      <c r="X34" s="60">
        <v>3.1E-4</v>
      </c>
      <c r="AA34" s="60">
        <v>6</v>
      </c>
      <c r="AB34" s="60">
        <f>+$X$34</f>
        <v>3.1E-4</v>
      </c>
      <c r="AC34" s="60">
        <f t="shared" si="0"/>
        <v>3.1E-4</v>
      </c>
    </row>
    <row r="35" spans="1:37" ht="42.6" customHeight="1" x14ac:dyDescent="0.25">
      <c r="A35" s="210" t="s">
        <v>145</v>
      </c>
      <c r="B35" s="210"/>
      <c r="C35" s="210"/>
      <c r="D35" s="210"/>
      <c r="E35" s="129"/>
      <c r="F35" s="88" t="s">
        <v>131</v>
      </c>
      <c r="G35" s="89" t="str">
        <f>IF(E35="","",IF(AND(E35/12&lt;X30,E35/12&gt;X29),E35/12,IF(E35/12&gt;X30,X30,IF(E35/12&lt;X29,X29))))</f>
        <v/>
      </c>
      <c r="W35" s="63" t="s">
        <v>119</v>
      </c>
      <c r="X35" s="60">
        <v>2.0599999999999999E-4</v>
      </c>
      <c r="AA35" s="60">
        <v>7</v>
      </c>
      <c r="AB35" s="60">
        <f>+$X$34</f>
        <v>3.1E-4</v>
      </c>
      <c r="AC35" s="60">
        <f t="shared" si="0"/>
        <v>2.0599999999999999E-4</v>
      </c>
      <c r="AG35" s="112" t="s">
        <v>143</v>
      </c>
      <c r="AH35" s="110" t="e">
        <f ca="1">(E33*AH25)*AH26/Mensualisation!N32</f>
        <v>#DIV/0!</v>
      </c>
      <c r="AI35" s="138" t="e">
        <f ca="1">+AH35*0.7812</f>
        <v>#DIV/0!</v>
      </c>
    </row>
    <row r="36" spans="1:37" x14ac:dyDescent="0.25">
      <c r="A36" s="81"/>
      <c r="B36" s="81"/>
      <c r="C36" s="81"/>
      <c r="D36" s="81"/>
      <c r="E36" s="81"/>
      <c r="AA36" s="60">
        <v>8</v>
      </c>
      <c r="AB36" s="60">
        <f t="shared" ref="AB36:AB43" si="1">+$X$35</f>
        <v>2.0599999999999999E-4</v>
      </c>
      <c r="AC36" s="60">
        <f t="shared" si="0"/>
        <v>2.0599999999999999E-4</v>
      </c>
      <c r="AG36" s="113" t="s">
        <v>139</v>
      </c>
      <c r="AH36" s="111" t="e">
        <f ca="1">+AH35*(1-Mensualisation!N32)</f>
        <v>#DIV/0!</v>
      </c>
      <c r="AI36" s="111"/>
    </row>
    <row r="37" spans="1:37" ht="26.25" customHeight="1" x14ac:dyDescent="0.25">
      <c r="A37" s="81"/>
      <c r="B37" s="81"/>
      <c r="C37" s="81"/>
      <c r="D37" s="87" t="s">
        <v>111</v>
      </c>
      <c r="E37" s="122"/>
      <c r="F37" s="88" t="s">
        <v>114</v>
      </c>
      <c r="G37" s="90" t="str">
        <f>IF(E35="","",(IF(E39="NON",VLOOKUP(E37,$AA$29:$AC$43,2,FALSE)*G30/E30,IF(E39="OUI",VLOOKUP(E37,$AA$29:$AC$43,3,FALSE)*G30/E30,"erreur"))))</f>
        <v/>
      </c>
      <c r="AA37" s="60">
        <v>9</v>
      </c>
      <c r="AB37" s="60">
        <f t="shared" si="1"/>
        <v>2.0599999999999999E-4</v>
      </c>
      <c r="AC37" s="60">
        <f t="shared" si="0"/>
        <v>2.0599999999999999E-4</v>
      </c>
      <c r="AG37" s="113" t="s">
        <v>140</v>
      </c>
      <c r="AH37" s="227" t="e">
        <f ca="1">(AH35*28.016/100)+(MIN(5,AH35*2.7/100))</f>
        <v>#DIV/0!</v>
      </c>
      <c r="AI37" s="92"/>
    </row>
    <row r="38" spans="1:37" x14ac:dyDescent="0.25">
      <c r="A38" s="81"/>
      <c r="B38" s="81"/>
      <c r="C38" s="81"/>
      <c r="D38" s="81"/>
      <c r="E38" s="81"/>
      <c r="AA38" s="60">
        <v>10</v>
      </c>
      <c r="AB38" s="60">
        <f t="shared" si="1"/>
        <v>2.0599999999999999E-4</v>
      </c>
      <c r="AC38" s="60">
        <f t="shared" si="0"/>
        <v>2.0599999999999999E-4</v>
      </c>
      <c r="AG38" s="113"/>
      <c r="AH38" s="81"/>
    </row>
    <row r="39" spans="1:37" ht="30" customHeight="1" x14ac:dyDescent="0.25">
      <c r="A39" s="81"/>
      <c r="B39" s="81"/>
      <c r="C39" s="81"/>
      <c r="D39" s="87" t="s">
        <v>133</v>
      </c>
      <c r="E39" s="122" t="s">
        <v>71</v>
      </c>
      <c r="F39" s="88" t="s">
        <v>127</v>
      </c>
      <c r="G39" s="89" t="str">
        <f>+IF(E35="","",+G35*G37)</f>
        <v/>
      </c>
      <c r="AA39" s="60">
        <v>11</v>
      </c>
      <c r="AB39" s="60">
        <f t="shared" si="1"/>
        <v>2.0599999999999999E-4</v>
      </c>
      <c r="AC39" s="60">
        <f t="shared" si="0"/>
        <v>2.0599999999999999E-4</v>
      </c>
      <c r="AG39" s="113" t="s">
        <v>141</v>
      </c>
      <c r="AH39" s="116" t="e">
        <f ca="1">+AH37+AH36</f>
        <v>#DIV/0!</v>
      </c>
      <c r="AI39" s="92"/>
    </row>
    <row r="40" spans="1:37" x14ac:dyDescent="0.25">
      <c r="E40" s="81"/>
      <c r="F40" s="63"/>
      <c r="G40" s="91"/>
      <c r="AA40" s="60">
        <v>12</v>
      </c>
      <c r="AB40" s="60">
        <f t="shared" si="1"/>
        <v>2.0599999999999999E-4</v>
      </c>
      <c r="AC40" s="60">
        <f t="shared" si="0"/>
        <v>2.0599999999999999E-4</v>
      </c>
      <c r="AG40" s="81"/>
    </row>
    <row r="41" spans="1:37" x14ac:dyDescent="0.25">
      <c r="D41" s="63" t="s">
        <v>126</v>
      </c>
      <c r="E41" s="85" t="e">
        <f ca="1">+E26</f>
        <v>#DIV/0!</v>
      </c>
      <c r="AA41" s="60">
        <v>13</v>
      </c>
      <c r="AB41" s="60">
        <f t="shared" si="1"/>
        <v>2.0599999999999999E-4</v>
      </c>
      <c r="AC41" s="60">
        <f t="shared" si="0"/>
        <v>2.0599999999999999E-4</v>
      </c>
      <c r="AH41" s="92"/>
      <c r="AI41" s="141">
        <v>-0.05</v>
      </c>
      <c r="AJ41" s="140" t="s">
        <v>164</v>
      </c>
      <c r="AK41" s="92"/>
    </row>
    <row r="42" spans="1:37" ht="15.75" thickBot="1" x14ac:dyDescent="0.3">
      <c r="I42" s="92"/>
      <c r="AA42" s="60">
        <v>14</v>
      </c>
      <c r="AB42" s="60">
        <f t="shared" si="1"/>
        <v>2.0599999999999999E-4</v>
      </c>
      <c r="AC42" s="60">
        <f t="shared" si="0"/>
        <v>2.0599999999999999E-4</v>
      </c>
      <c r="AG42" s="60" t="s">
        <v>144</v>
      </c>
      <c r="AH42" s="92" t="e">
        <f ca="1">+ROUND(AH33-AH39,2)</f>
        <v>#DIV/0!</v>
      </c>
      <c r="AI42" s="80" t="e">
        <f ca="1">ROUND(+AH42*0.95,2)</f>
        <v>#DIV/0!</v>
      </c>
      <c r="AJ42" s="80" t="e">
        <f ca="1">ROUND(+AH42*1.05,2)</f>
        <v>#DIV/0!</v>
      </c>
    </row>
    <row r="43" spans="1:37" ht="15.75" thickBot="1" x14ac:dyDescent="0.3">
      <c r="C43" s="149"/>
      <c r="D43" s="150" t="s">
        <v>125</v>
      </c>
      <c r="E43" s="102">
        <f>IF(E35="",0,+MIN((E33*G30),(MAX((E33*E30),E41)))-(G39*E33))</f>
        <v>0</v>
      </c>
      <c r="F43" s="151" t="str">
        <f>IF(E35="","","Soit environ "&amp;ROUND(E43/E41*100,0)&amp;" %")</f>
        <v/>
      </c>
      <c r="AA43" s="60">
        <v>15</v>
      </c>
      <c r="AB43" s="60">
        <f t="shared" si="1"/>
        <v>2.0599999999999999E-4</v>
      </c>
      <c r="AC43" s="60">
        <f>+AC42</f>
        <v>2.0599999999999999E-4</v>
      </c>
    </row>
    <row r="45" spans="1:37" ht="14.45" customHeight="1" x14ac:dyDescent="0.25">
      <c r="C45" s="93"/>
      <c r="D45" s="61" t="s">
        <v>129</v>
      </c>
      <c r="E45" s="130" t="str">
        <f>IF((E35&lt;&gt;""),+E41-E43,"")</f>
        <v/>
      </c>
      <c r="F45" s="94" t="str">
        <f>IF(E35="","","Soit environ "&amp;ROUND(E45/E41*100,0)&amp;" %")</f>
        <v/>
      </c>
      <c r="H45" s="117"/>
      <c r="I45" s="117"/>
      <c r="J45" s="117"/>
      <c r="K45" s="117"/>
      <c r="L45" s="117"/>
    </row>
    <row r="46" spans="1:37" x14ac:dyDescent="0.25">
      <c r="C46" s="93"/>
      <c r="D46" s="119" t="e">
        <f ca="1">IF(E41/E33&gt;8,"Charges sociales non remboursées : ","")</f>
        <v>#DIV/0!</v>
      </c>
      <c r="E46" s="120" t="e">
        <f ca="1">IF(E41/E33&gt;8,"+ (entre  "&amp;AI42&amp;" € et "&amp;AJ42&amp;" €)","")</f>
        <v>#DIV/0!</v>
      </c>
      <c r="F46" s="209" t="e">
        <f ca="1">IF(E41/E33&gt;8,"Le coût horaire de l'ass mat est supérieur à 8 €, il faudra rajouter le coût des charges sociales non remboursées par la CAF ","")</f>
        <v>#DIV/0!</v>
      </c>
      <c r="G46" s="209"/>
      <c r="H46" s="209"/>
      <c r="I46" s="209"/>
      <c r="J46" s="209"/>
      <c r="K46" s="209"/>
      <c r="L46" s="209"/>
    </row>
    <row r="47" spans="1:37" x14ac:dyDescent="0.25">
      <c r="C47" s="93"/>
      <c r="D47" s="61" t="e">
        <f ca="1">IF(AND(E35&lt;&gt;"",E41/E33&gt;8),"Total ","")</f>
        <v>#DIV/0!</v>
      </c>
      <c r="E47" s="95" t="e">
        <f ca="1">IF(AND(E35&lt;&gt;"",E41/E33&gt;8)," = entre "&amp;ROUND(AI42+E45,2)&amp;" € et "&amp;ROUND(AJ42+E45,2)&amp;" €","")</f>
        <v>#DIV/0!</v>
      </c>
      <c r="F47" s="118"/>
      <c r="G47" s="118"/>
      <c r="H47" s="118"/>
      <c r="I47" s="118"/>
      <c r="J47" s="118"/>
      <c r="K47" s="118"/>
      <c r="L47" s="118"/>
    </row>
    <row r="48" spans="1:37" x14ac:dyDescent="0.25">
      <c r="L48" s="118"/>
    </row>
    <row r="49" spans="1:39" ht="18.75" x14ac:dyDescent="0.3">
      <c r="A49" s="207" t="s">
        <v>132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7"/>
    </row>
    <row r="50" spans="1:39" ht="15.75" thickBot="1" x14ac:dyDescent="0.3">
      <c r="C50" s="93"/>
      <c r="D50" s="61"/>
      <c r="E50" s="95"/>
    </row>
    <row r="51" spans="1:39" ht="15.75" thickBot="1" x14ac:dyDescent="0.3">
      <c r="A51" s="211" t="str">
        <f>+IF(E39="NON","1 ENFANT (Sans AEEH)","1 ENFANT (Avec AEEH)")</f>
        <v>1 ENFANT (Sans AEEH)</v>
      </c>
      <c r="B51" s="212"/>
      <c r="C51" s="212"/>
      <c r="D51" s="213"/>
      <c r="E51" s="214" t="str">
        <f>+IF(E39="NON","2 ENFANTS (Sans AEEH)","2 ENFANTS (Avec AEEH)")</f>
        <v>2 ENFANTS (Sans AEEH)</v>
      </c>
      <c r="F51" s="215"/>
      <c r="G51" s="215"/>
      <c r="H51" s="216"/>
      <c r="I51" s="217" t="str">
        <f>+IF(E39="NON","3 ENFANTS (Sans AEEH)","3 ENFANTS (Avec AEEH)")</f>
        <v>3 ENFANTS (Sans AEEH)</v>
      </c>
      <c r="J51" s="218"/>
      <c r="K51" s="218"/>
      <c r="L51" s="219"/>
      <c r="M51" s="93"/>
      <c r="N51" s="93"/>
      <c r="AB51" s="208"/>
      <c r="AC51" s="208"/>
      <c r="AD51" s="208"/>
      <c r="AH51" s="104" t="s">
        <v>135</v>
      </c>
      <c r="AI51" s="104"/>
      <c r="AJ51" s="104"/>
      <c r="AK51" s="104"/>
      <c r="AL51" s="104"/>
      <c r="AM51" s="104"/>
    </row>
    <row r="52" spans="1:39" ht="30" customHeight="1" thickBot="1" x14ac:dyDescent="0.3">
      <c r="A52" s="96" t="s">
        <v>128</v>
      </c>
      <c r="B52" s="103" t="s">
        <v>152</v>
      </c>
      <c r="C52" s="103" t="s">
        <v>134</v>
      </c>
      <c r="D52" s="103" t="e">
        <f ca="1">IF($E$41/$E$33&gt;8,"Charges sociales à payer en plus","")</f>
        <v>#DIV/0!</v>
      </c>
      <c r="E52" s="131" t="s">
        <v>128</v>
      </c>
      <c r="F52" s="105" t="s">
        <v>152</v>
      </c>
      <c r="G52" s="135" t="s">
        <v>134</v>
      </c>
      <c r="H52" s="105" t="e">
        <f ca="1">IF($E$41/$E$33&gt;8,"Charges sociales à payer en plus","")</f>
        <v>#DIV/0!</v>
      </c>
      <c r="I52" s="96" t="s">
        <v>128</v>
      </c>
      <c r="J52" s="132" t="s">
        <v>152</v>
      </c>
      <c r="K52" s="136" t="s">
        <v>134</v>
      </c>
      <c r="L52" s="132" t="e">
        <f ca="1">IF($E$41/$E$33&gt;8,"Charges sociales à payer en plus","")</f>
        <v>#DIV/0!</v>
      </c>
      <c r="W52" s="62" t="s">
        <v>155</v>
      </c>
      <c r="X52" s="62" t="s">
        <v>156</v>
      </c>
      <c r="Y52" s="62" t="s">
        <v>157</v>
      </c>
      <c r="Z52" s="62" t="s">
        <v>158</v>
      </c>
      <c r="AA52" s="62" t="s">
        <v>159</v>
      </c>
      <c r="AC52" s="62" t="s">
        <v>160</v>
      </c>
      <c r="AE52" s="62" t="s">
        <v>161</v>
      </c>
      <c r="AF52" s="62" t="s">
        <v>162</v>
      </c>
      <c r="AG52" s="62" t="s">
        <v>163</v>
      </c>
      <c r="AH52" s="62" t="s">
        <v>136</v>
      </c>
      <c r="AI52" s="62" t="s">
        <v>137</v>
      </c>
      <c r="AJ52" s="62" t="s">
        <v>138</v>
      </c>
    </row>
    <row r="53" spans="1:39" x14ac:dyDescent="0.25">
      <c r="A53" s="142" t="str">
        <f t="shared" ref="A53:A96" si="2">"De "&amp;W53&amp;" € à "&amp;X53&amp;" €"</f>
        <v>De 5000 € à 7500 €</v>
      </c>
      <c r="B53" s="106" t="e">
        <f ca="1">IF(+AND($E$39="NON",(($G$30-((($G$30/$E$30)*$AB$29)*AC53))*$E$33)&gt;0),(($G$30-((($G$30/$E$30)*$AB$29)*AC53))*$E$33),IF(AND($E$39="OUI",($G$30-((($G$30/$E$30)*$AB$30)*AC53))*$E$33&gt;0),($G$30-((($G$30/$E$30)*$AB$30)*AC53))*$E$33,0))</f>
        <v>#DIV/0!</v>
      </c>
      <c r="C53" s="106" t="e">
        <f t="shared" ref="C53:C96" ca="1" si="3">"Entre "&amp;ROUND(AF53/$E$41*100,0)&amp;" % et "&amp;ROUND(AE53/$E$41*100,0)&amp;" %"</f>
        <v>#DIV/0!</v>
      </c>
      <c r="D53" s="145" t="e">
        <f ca="1">IF($E$41/$E$33&gt;8,"+ (entre  "&amp;$AI$42&amp;" € et "&amp;$AJ$42&amp;" €)","")</f>
        <v>#DIV/0!</v>
      </c>
      <c r="E53" s="97" t="str">
        <f t="shared" ref="E53:E94" si="4">+A53</f>
        <v>De 5000 € à 7500 €</v>
      </c>
      <c r="F53" s="133" t="e">
        <f ca="1">IF(AND($E$39="NON",($G$30-((($G$30/$E$30)*$AB$30)*AC53))*$E$33&gt;0),($G$30-((($G$30/$E$30)*$AB$30)*AC53))*$E$33,IF(AND($E$39="OUI",($G$30-((($G$30/$E$30)*$AB$31)*AC53))*$E$33&gt;0),($G$30-((($G$30/$E$30)*$AB$31)*AC53))*$E$33,0))</f>
        <v>#DIV/0!</v>
      </c>
      <c r="G53" s="106" t="e">
        <f t="shared" ref="G53:G96" ca="1" si="5">"Entre "&amp;ROUND(AH53/$E$41*100,0)&amp;"  % et "&amp;ROUND(AG53/$E$41*100,0)&amp;" %"</f>
        <v>#DIV/0!</v>
      </c>
      <c r="H53" s="143" t="e">
        <f ca="1">IF($E$41/$E$33&gt;8,"+ (entre  "&amp;$AI$42&amp;" € et "&amp;$AJ$42&amp;" €)","")</f>
        <v>#DIV/0!</v>
      </c>
      <c r="I53" s="97" t="str">
        <f t="shared" ref="I53:I94" si="6">+A53</f>
        <v>De 5000 € à 7500 €</v>
      </c>
      <c r="J53" s="133" t="e">
        <f ca="1">IF(AND($E$39="NON",($G$30-((($G$30/$E$30)*$AB$30)*AC53))*$E$33&gt;0),($G$30-((($G$30/$E$30)*$AB$31)*AC53))*$E$33,IF(AND($E$39="OUI",($G$30-((($G$30/$E$30)*$AB$31)*AC53))*$E$33&gt;0),($G$30-((($G$30/$E$30)*$AB$32)*AC53))*$E$33,0))</f>
        <v>#DIV/0!</v>
      </c>
      <c r="K53" s="107" t="e">
        <f ca="1">"Entre "&amp;ROUND(AJ53/$E$41*100,0)&amp;" % et "&amp;ROUND(AI53/$E$41*100,0)&amp;" %"</f>
        <v>#DIV/0!</v>
      </c>
      <c r="L53" s="143" t="e">
        <f ca="1">IF($E$41/$E$33&gt;8,"+ (entre  "&amp;$AI$42&amp;" € et "&amp;$AJ$42&amp;" €)","")</f>
        <v>#DIV/0!</v>
      </c>
      <c r="W53" s="99">
        <v>5000</v>
      </c>
      <c r="X53" s="99">
        <f>+W53+2500</f>
        <v>7500</v>
      </c>
      <c r="Y53" s="92">
        <v>538.27</v>
      </c>
      <c r="Z53" s="92">
        <v>538.27</v>
      </c>
      <c r="AA53" s="92">
        <v>538.27</v>
      </c>
      <c r="AC53" s="99">
        <f t="shared" ref="AC53:AC96" si="7">IF((((X53-W53)/2)+W53)/12&lt;$X$29,$X$29,IF((((X53-W53)/2)+W53)/12&gt;$X$30,$X$30,(((X53-W53)/2)+W53)/12))</f>
        <v>801</v>
      </c>
      <c r="AE53" s="91" t="e">
        <f ca="1">IF(+AND($E$39="NON",(($G$30-((($G$30/$E$30)*$AB$29)*MIN($X$30,MAX($X$29,W53/12))))*$E$33)&gt;0),(($G$30-((($G$30/$E$30)*$AB$29)*MIN($X$30,MAX($X$29,W53/12))))*$E$33),IF(AND($E$39="OUI",($G$30-((($G$30/$E$30)*$AB$30)*MIN($X$30,MAX($X$29,W53/12))))*$E$33&gt;0),($G$30-((($G$30/$E$30)*$AB$30)*MIN($X$30,MAX($X$29,W53/12))))*$E$33,0))</f>
        <v>#DIV/0!</v>
      </c>
      <c r="AF53" s="91" t="e">
        <f ca="1">IF(+AND($E$39="NON",(($G$30-((($G$30/$E$30)*$AB$29)*MIN($X$30,MAX($X$29,X53/12))))*$E$33)&gt;0),(($G$30-((($G$30/$E$30)*$AB$29)*MIN($X$30,MAX($X$29,X53/12))))*$E$33),IF(AND($E$39="OUI",($G$30-((($G$30/$E$30)*$AB$30)*MIN($X$30,MAX($X$29,X53/12))))*$E$33&gt;0),($G$30-((($G$30/$E$30)*$AB$30)*MIN($X$30,MAX($X$29,X53/12))))*$E$33,0))</f>
        <v>#DIV/0!</v>
      </c>
      <c r="AG53" s="91" t="e">
        <f ca="1">IF(+AND($E$39="NON",(($G$30-((($G$30/$E$30)*$AB$30)*MIN($X$30,MAX($X$29,W53/12))))*$E$33)&gt;0),(($G$30-((($G$30/$E$30)*$AB$30)*MIN($X$30,MAX($X$29,W53/12))))*$E$33),IF(AND($E$39="OUI",($G$30-((($G$30/$E$30)*$AB$31)*MIN($X$30,MAX($X$29,W53/12))))*$E$33&gt;0),($G$30-((($G$30/$E$30)*$AB$31)*MIN($X$30,MAX($X$29,W53/12))))*$E$33,0))</f>
        <v>#DIV/0!</v>
      </c>
      <c r="AH53" s="91" t="e">
        <f ca="1">IF(+AND($E$39="NON",(($G$30-((($G$30/$E$30)*$AB$30)*MIN($X$30,MAX($X$29,X53/12))))*$E$33)&gt;0),(($G$30-((($G$30/$E$30)*$AB$30)*MIN($X$30,MAX($X$29,X53/12))))*$E$33),IF(AND($E$39="OUI",($G$30-((($G$30/$E$30)*$AB$31)*MIN($X$30,MAX($X$29,X53/12))))*$E$33&gt;0),($G$30-((($G$30/$E$30)*$AB$31)*MIN($X$30,MAX($X$29,X53/12))))*$E$33,0))</f>
        <v>#DIV/0!</v>
      </c>
      <c r="AI53" s="91" t="e">
        <f ca="1">IF(+AND($E$39="NON",(($G$30-((($G$30/$E$30)*$AB$31)*MIN($X$30,MAX($X$29,W53/12))))*$E$33)&gt;0),(($G$30-((($G$30/$E$30)*$AB$31)*MIN($X$30,MAX($X$29,W53/12))))*$E$33),IF(AND($E$39="OUI",($G$30-((($G$30/$E$30)*$AB$32)*MIN($X$30,MAX($X$29,W53/12))))*$E$33&gt;0),($G$30-((($G$30/$E$30)*$AB$32)*MIN($X$30,MAX($X$29,W53/12))))*$E$33,0))</f>
        <v>#DIV/0!</v>
      </c>
      <c r="AJ53" s="91" t="e">
        <f ca="1">IF(+AND($E$39="NON",(($G$30-((($G$30/$E$30)*$AB$31)*MIN($X$30,MAX($X$29,X53/12))))*$E$33)&gt;0),(($G$30-((($G$30/$E$30)*$AB$31)*MIN($X$30,MAX($X$29,X53/12))))*$E$33),IF(AND($E$39="OUI",($G$30-((($G$30/$E$30)*$AB$32)*MIN($X$30,MAX($X$29,X53/12))))*$E$33&gt;0),($G$30-((($G$30/$E$30)*$AB$32)*MIN($X$30,MAX($X$29,X53/12))))*$E$33,0))</f>
        <v>#DIV/0!</v>
      </c>
    </row>
    <row r="54" spans="1:39" x14ac:dyDescent="0.25">
      <c r="A54" s="97" t="str">
        <f t="shared" si="2"/>
        <v>De 7500 € à 10000 €</v>
      </c>
      <c r="B54" s="98" t="e">
        <f t="shared" ref="B54:B96" ca="1" si="8">IF(+AND($E$39="NON",(($G$30-((($G$30/$E$30)*$AB$29)*AC54))*$E$33)&gt;0),(($G$30-((($G$30/$E$30)*$AB$29)*AC54))*$E$33),IF(AND($E$39="OUI",($G$30-((($G$30/$E$30)*$AB$30)*AC54))*$E$33&gt;0),($G$30-((($G$30/$E$30)*$AB$30)*AC54))*$E$33,0))</f>
        <v>#DIV/0!</v>
      </c>
      <c r="C54" s="98" t="e">
        <f t="shared" ca="1" si="3"/>
        <v>#DIV/0!</v>
      </c>
      <c r="D54" s="145" t="e">
        <f t="shared" ref="D54:D96" ca="1" si="9">IF($E$41/$E$33&gt;8,"+ (entre  "&amp;$AI$42&amp;" € et "&amp;$AJ$42&amp;" €)","")</f>
        <v>#DIV/0!</v>
      </c>
      <c r="E54" s="97" t="str">
        <f t="shared" si="4"/>
        <v>De 7500 € à 10000 €</v>
      </c>
      <c r="F54" s="133" t="e">
        <f t="shared" ref="F54:F96" ca="1" si="10">IF(AND($E$39="NON",($G$30-((($G$30/$E$30)*$AB$30)*AC54))*$E$33&gt;0),($G$30-((($G$30/$E$30)*$AB$30)*AC54))*$E$33,IF(AND($E$39="OUI",($G$30-((($G$30/$E$30)*$AB$31)*AC54))*$E$33&gt;0),($G$30-((($G$30/$E$30)*$AB$31)*AC54))*$E$33,0))</f>
        <v>#DIV/0!</v>
      </c>
      <c r="G54" s="98" t="e">
        <f t="shared" ca="1" si="5"/>
        <v>#DIV/0!</v>
      </c>
      <c r="H54" s="143" t="e">
        <f t="shared" ref="H54:H96" ca="1" si="11">IF($E$41/$E$33&gt;8,"+ (entre  "&amp;$AI$42&amp;" € et "&amp;$AJ$42&amp;" €)","")</f>
        <v>#DIV/0!</v>
      </c>
      <c r="I54" s="97" t="str">
        <f t="shared" si="6"/>
        <v>De 7500 € à 10000 €</v>
      </c>
      <c r="J54" s="133" t="e">
        <f t="shared" ref="J54:J96" ca="1" si="12">IF(AND($E$39="NON",($G$30-((($G$30/$E$30)*$AB$30)*AC54))*$E$33&gt;0),($G$30-((($G$30/$E$30)*$AB$31)*AC54))*$E$33,IF(AND($E$39="OUI",($G$30-((($G$30/$E$30)*$AB$31)*AC54))*$E$33&gt;0),($G$30-((($G$30/$E$30)*$AB$32)*AC54))*$E$33,0))</f>
        <v>#DIV/0!</v>
      </c>
      <c r="K54" s="108" t="e">
        <f t="shared" ref="K54:K96" ca="1" si="13">"Entre "&amp;ROUND(AJ54/$E$41*100,0)&amp;" % et "&amp;ROUND(AI54/$E$41*100,0)&amp;" %"</f>
        <v>#DIV/0!</v>
      </c>
      <c r="L54" s="143" t="e">
        <f t="shared" ref="L54:L96" ca="1" si="14">IF($E$41/$E$33&gt;8,"+ (entre  "&amp;$AI$42&amp;" € et "&amp;$AJ$42&amp;" €)","")</f>
        <v>#DIV/0!</v>
      </c>
      <c r="W54" s="99">
        <f>+X53</f>
        <v>7500</v>
      </c>
      <c r="X54" s="99">
        <f>+W54+2500</f>
        <v>10000</v>
      </c>
      <c r="Y54" s="92">
        <v>538.27</v>
      </c>
      <c r="Z54" s="92">
        <v>538.27</v>
      </c>
      <c r="AA54" s="92">
        <v>538.27</v>
      </c>
      <c r="AC54" s="99">
        <f t="shared" si="7"/>
        <v>801</v>
      </c>
      <c r="AE54" s="91" t="e">
        <f t="shared" ref="AE54:AF69" ca="1" si="15">IF(+AND($E$39="NON",(($G$30-((($G$30/$E$30)*$AB$29)*MIN($X$30,MAX($X$29,W54/12))))*$E$33)&gt;0),(($G$30-((($G$30/$E$30)*$AB$29)*MIN($X$30,MAX($X$29,W54/12))))*$E$33),IF(AND($E$39="OUI",($G$30-((($G$30/$E$30)*$AB$30)*MIN($X$30,MAX($X$29,W54/12))))*$E$33&gt;0),($G$30-((($G$30/$E$30)*$AB$30)*MIN($X$30,MAX($X$29,W54/12))))*$E$33,0))</f>
        <v>#DIV/0!</v>
      </c>
      <c r="AF54" s="91" t="e">
        <f t="shared" ca="1" si="15"/>
        <v>#DIV/0!</v>
      </c>
      <c r="AG54" s="91" t="e">
        <f t="shared" ref="AG54:AH96" ca="1" si="16">IF(+AND($E$39="NON",(($G$30-((($G$30/$E$30)*$AB$30)*MIN($X$30,MAX($X$29,W54/12))))*$E$33)&gt;0),(($G$30-((($G$30/$E$30)*$AB$30)*MIN($X$30,MAX($X$29,W54/12))))*$E$33),IF(AND($E$39="OUI",($G$30-((($G$30/$E$30)*$AB$31)*MIN($X$30,MAX($X$29,W54/12))))*$E$33&gt;0),($G$30-((($G$30/$E$30)*$AB$31)*MIN($X$30,MAX($X$29,W54/12))))*$E$33,0))</f>
        <v>#DIV/0!</v>
      </c>
      <c r="AH54" s="91" t="e">
        <f t="shared" ca="1" si="16"/>
        <v>#DIV/0!</v>
      </c>
      <c r="AI54" s="91" t="e">
        <f t="shared" ref="AI54:AJ96" ca="1" si="17">IF(+AND($E$39="NON",(($G$30-((($G$30/$E$30)*$AB$31)*MIN($X$30,MAX($X$29,W54/12))))*$E$33)&gt;0),(($G$30-((($G$30/$E$30)*$AB$31)*MIN($X$30,MAX($X$29,W54/12))))*$E$33),IF(AND($E$39="OUI",($G$30-((($G$30/$E$30)*$AB$32)*MIN($X$30,MAX($X$29,W54/12))))*$E$33&gt;0),($G$30-((($G$30/$E$30)*$AB$32)*MIN($X$30,MAX($X$29,W54/12))))*$E$33,0))</f>
        <v>#DIV/0!</v>
      </c>
      <c r="AJ54" s="91" t="e">
        <f t="shared" ca="1" si="17"/>
        <v>#DIV/0!</v>
      </c>
    </row>
    <row r="55" spans="1:39" x14ac:dyDescent="0.25">
      <c r="A55" s="97" t="str">
        <f t="shared" si="2"/>
        <v>De 10000 € à 12500 €</v>
      </c>
      <c r="B55" s="98" t="e">
        <f t="shared" ca="1" si="8"/>
        <v>#DIV/0!</v>
      </c>
      <c r="C55" s="98" t="e">
        <f t="shared" ca="1" si="3"/>
        <v>#DIV/0!</v>
      </c>
      <c r="D55" s="145" t="e">
        <f t="shared" ca="1" si="9"/>
        <v>#DIV/0!</v>
      </c>
      <c r="E55" s="97" t="str">
        <f t="shared" si="4"/>
        <v>De 10000 € à 12500 €</v>
      </c>
      <c r="F55" s="133" t="e">
        <f t="shared" ca="1" si="10"/>
        <v>#DIV/0!</v>
      </c>
      <c r="G55" s="98" t="e">
        <f t="shared" ca="1" si="5"/>
        <v>#DIV/0!</v>
      </c>
      <c r="H55" s="143" t="e">
        <f t="shared" ca="1" si="11"/>
        <v>#DIV/0!</v>
      </c>
      <c r="I55" s="97" t="str">
        <f t="shared" si="6"/>
        <v>De 10000 € à 12500 €</v>
      </c>
      <c r="J55" s="133" t="e">
        <f t="shared" ca="1" si="12"/>
        <v>#DIV/0!</v>
      </c>
      <c r="K55" s="108" t="e">
        <f t="shared" ca="1" si="13"/>
        <v>#DIV/0!</v>
      </c>
      <c r="L55" s="143" t="e">
        <f t="shared" ca="1" si="14"/>
        <v>#DIV/0!</v>
      </c>
      <c r="W55" s="99">
        <f t="shared" ref="W55:W96" si="18">+X54</f>
        <v>10000</v>
      </c>
      <c r="X55" s="99">
        <f t="shared" ref="X55:X96" si="19">+W55+2500</f>
        <v>12500</v>
      </c>
      <c r="Y55" s="92">
        <v>538.27</v>
      </c>
      <c r="Z55" s="92">
        <v>538.27</v>
      </c>
      <c r="AA55" s="92">
        <v>538.27</v>
      </c>
      <c r="AC55" s="99">
        <f t="shared" si="7"/>
        <v>937.5</v>
      </c>
      <c r="AE55" s="91" t="e">
        <f t="shared" ca="1" si="15"/>
        <v>#DIV/0!</v>
      </c>
      <c r="AF55" s="91" t="e">
        <f t="shared" ca="1" si="15"/>
        <v>#DIV/0!</v>
      </c>
      <c r="AG55" s="91" t="e">
        <f t="shared" ca="1" si="16"/>
        <v>#DIV/0!</v>
      </c>
      <c r="AH55" s="91" t="e">
        <f t="shared" ca="1" si="16"/>
        <v>#DIV/0!</v>
      </c>
      <c r="AI55" s="91" t="e">
        <f t="shared" ca="1" si="17"/>
        <v>#DIV/0!</v>
      </c>
      <c r="AJ55" s="91" t="e">
        <f t="shared" ca="1" si="17"/>
        <v>#DIV/0!</v>
      </c>
    </row>
    <row r="56" spans="1:39" x14ac:dyDescent="0.25">
      <c r="A56" s="97" t="str">
        <f t="shared" si="2"/>
        <v>De 12500 € à 15000 €</v>
      </c>
      <c r="B56" s="98" t="e">
        <f t="shared" ca="1" si="8"/>
        <v>#DIV/0!</v>
      </c>
      <c r="C56" s="98" t="e">
        <f t="shared" ca="1" si="3"/>
        <v>#DIV/0!</v>
      </c>
      <c r="D56" s="145" t="e">
        <f t="shared" ca="1" si="9"/>
        <v>#DIV/0!</v>
      </c>
      <c r="E56" s="97" t="str">
        <f t="shared" si="4"/>
        <v>De 12500 € à 15000 €</v>
      </c>
      <c r="F56" s="133" t="e">
        <f t="shared" ca="1" si="10"/>
        <v>#DIV/0!</v>
      </c>
      <c r="G56" s="98" t="e">
        <f t="shared" ca="1" si="5"/>
        <v>#DIV/0!</v>
      </c>
      <c r="H56" s="143" t="e">
        <f t="shared" ca="1" si="11"/>
        <v>#DIV/0!</v>
      </c>
      <c r="I56" s="97" t="str">
        <f t="shared" si="6"/>
        <v>De 12500 € à 15000 €</v>
      </c>
      <c r="J56" s="133" t="e">
        <f t="shared" ca="1" si="12"/>
        <v>#DIV/0!</v>
      </c>
      <c r="K56" s="108" t="e">
        <f t="shared" ca="1" si="13"/>
        <v>#DIV/0!</v>
      </c>
      <c r="L56" s="143" t="e">
        <f t="shared" ca="1" si="14"/>
        <v>#DIV/0!</v>
      </c>
      <c r="W56" s="99">
        <f t="shared" si="18"/>
        <v>12500</v>
      </c>
      <c r="X56" s="99">
        <f t="shared" si="19"/>
        <v>15000</v>
      </c>
      <c r="Y56" s="92">
        <v>538.27</v>
      </c>
      <c r="Z56" s="92">
        <v>538.27</v>
      </c>
      <c r="AA56" s="92">
        <v>538.27</v>
      </c>
      <c r="AC56" s="99">
        <f t="shared" si="7"/>
        <v>1145.8333333333333</v>
      </c>
      <c r="AE56" s="91" t="e">
        <f t="shared" ca="1" si="15"/>
        <v>#DIV/0!</v>
      </c>
      <c r="AF56" s="91" t="e">
        <f t="shared" ca="1" si="15"/>
        <v>#DIV/0!</v>
      </c>
      <c r="AG56" s="91" t="e">
        <f t="shared" ca="1" si="16"/>
        <v>#DIV/0!</v>
      </c>
      <c r="AH56" s="91" t="e">
        <f t="shared" ca="1" si="16"/>
        <v>#DIV/0!</v>
      </c>
      <c r="AI56" s="91" t="e">
        <f t="shared" ca="1" si="17"/>
        <v>#DIV/0!</v>
      </c>
      <c r="AJ56" s="91" t="e">
        <f t="shared" ca="1" si="17"/>
        <v>#DIV/0!</v>
      </c>
    </row>
    <row r="57" spans="1:39" x14ac:dyDescent="0.25">
      <c r="A57" s="97" t="str">
        <f t="shared" si="2"/>
        <v>De 15000 € à 17500 €</v>
      </c>
      <c r="B57" s="98" t="e">
        <f t="shared" ca="1" si="8"/>
        <v>#DIV/0!</v>
      </c>
      <c r="C57" s="98" t="e">
        <f t="shared" ca="1" si="3"/>
        <v>#DIV/0!</v>
      </c>
      <c r="D57" s="145" t="e">
        <f t="shared" ca="1" si="9"/>
        <v>#DIV/0!</v>
      </c>
      <c r="E57" s="97" t="str">
        <f t="shared" si="4"/>
        <v>De 15000 € à 17500 €</v>
      </c>
      <c r="F57" s="133" t="e">
        <f t="shared" ca="1" si="10"/>
        <v>#DIV/0!</v>
      </c>
      <c r="G57" s="98" t="e">
        <f t="shared" ca="1" si="5"/>
        <v>#DIV/0!</v>
      </c>
      <c r="H57" s="143" t="e">
        <f t="shared" ca="1" si="11"/>
        <v>#DIV/0!</v>
      </c>
      <c r="I57" s="97" t="str">
        <f t="shared" si="6"/>
        <v>De 15000 € à 17500 €</v>
      </c>
      <c r="J57" s="133" t="e">
        <f t="shared" ca="1" si="12"/>
        <v>#DIV/0!</v>
      </c>
      <c r="K57" s="108" t="e">
        <f t="shared" ca="1" si="13"/>
        <v>#DIV/0!</v>
      </c>
      <c r="L57" s="143" t="e">
        <f t="shared" ca="1" si="14"/>
        <v>#DIV/0!</v>
      </c>
      <c r="W57" s="99">
        <f t="shared" si="18"/>
        <v>15000</v>
      </c>
      <c r="X57" s="99">
        <f t="shared" si="19"/>
        <v>17500</v>
      </c>
      <c r="Y57" s="92">
        <v>538.27</v>
      </c>
      <c r="Z57" s="92">
        <v>538.27</v>
      </c>
      <c r="AA57" s="92">
        <v>538.27</v>
      </c>
      <c r="AC57" s="99">
        <f t="shared" si="7"/>
        <v>1354.1666666666667</v>
      </c>
      <c r="AE57" s="91" t="e">
        <f t="shared" ca="1" si="15"/>
        <v>#DIV/0!</v>
      </c>
      <c r="AF57" s="91" t="e">
        <f t="shared" ca="1" si="15"/>
        <v>#DIV/0!</v>
      </c>
      <c r="AG57" s="91" t="e">
        <f t="shared" ca="1" si="16"/>
        <v>#DIV/0!</v>
      </c>
      <c r="AH57" s="91" t="e">
        <f t="shared" ca="1" si="16"/>
        <v>#DIV/0!</v>
      </c>
      <c r="AI57" s="91" t="e">
        <f t="shared" ca="1" si="17"/>
        <v>#DIV/0!</v>
      </c>
      <c r="AJ57" s="91" t="e">
        <f t="shared" ca="1" si="17"/>
        <v>#DIV/0!</v>
      </c>
    </row>
    <row r="58" spans="1:39" x14ac:dyDescent="0.25">
      <c r="A58" s="97" t="str">
        <f t="shared" si="2"/>
        <v>De 17500 € à 20000 €</v>
      </c>
      <c r="B58" s="98" t="e">
        <f t="shared" ca="1" si="8"/>
        <v>#DIV/0!</v>
      </c>
      <c r="C58" s="98" t="e">
        <f t="shared" ca="1" si="3"/>
        <v>#DIV/0!</v>
      </c>
      <c r="D58" s="145" t="e">
        <f t="shared" ca="1" si="9"/>
        <v>#DIV/0!</v>
      </c>
      <c r="E58" s="97" t="str">
        <f t="shared" si="4"/>
        <v>De 17500 € à 20000 €</v>
      </c>
      <c r="F58" s="133" t="e">
        <f t="shared" ca="1" si="10"/>
        <v>#DIV/0!</v>
      </c>
      <c r="G58" s="98" t="e">
        <f t="shared" ca="1" si="5"/>
        <v>#DIV/0!</v>
      </c>
      <c r="H58" s="143" t="e">
        <f t="shared" ca="1" si="11"/>
        <v>#DIV/0!</v>
      </c>
      <c r="I58" s="97" t="str">
        <f t="shared" si="6"/>
        <v>De 17500 € à 20000 €</v>
      </c>
      <c r="J58" s="133" t="e">
        <f t="shared" ca="1" si="12"/>
        <v>#DIV/0!</v>
      </c>
      <c r="K58" s="108" t="e">
        <f t="shared" ca="1" si="13"/>
        <v>#DIV/0!</v>
      </c>
      <c r="L58" s="143" t="e">
        <f t="shared" ca="1" si="14"/>
        <v>#DIV/0!</v>
      </c>
      <c r="W58" s="99">
        <f t="shared" si="18"/>
        <v>17500</v>
      </c>
      <c r="X58" s="99">
        <f t="shared" si="19"/>
        <v>20000</v>
      </c>
      <c r="Y58" s="92">
        <v>538.27</v>
      </c>
      <c r="Z58" s="92">
        <v>538.27</v>
      </c>
      <c r="AA58" s="92">
        <v>538.27</v>
      </c>
      <c r="AC58" s="99">
        <f t="shared" si="7"/>
        <v>1562.5</v>
      </c>
      <c r="AE58" s="91" t="e">
        <f t="shared" ca="1" si="15"/>
        <v>#DIV/0!</v>
      </c>
      <c r="AF58" s="91" t="e">
        <f t="shared" ca="1" si="15"/>
        <v>#DIV/0!</v>
      </c>
      <c r="AG58" s="91" t="e">
        <f t="shared" ca="1" si="16"/>
        <v>#DIV/0!</v>
      </c>
      <c r="AH58" s="91" t="e">
        <f t="shared" ca="1" si="16"/>
        <v>#DIV/0!</v>
      </c>
      <c r="AI58" s="91" t="e">
        <f t="shared" ca="1" si="17"/>
        <v>#DIV/0!</v>
      </c>
      <c r="AJ58" s="91" t="e">
        <f t="shared" ca="1" si="17"/>
        <v>#DIV/0!</v>
      </c>
    </row>
    <row r="59" spans="1:39" x14ac:dyDescent="0.25">
      <c r="A59" s="97" t="str">
        <f t="shared" si="2"/>
        <v>De 20000 € à 22500 €</v>
      </c>
      <c r="B59" s="98" t="e">
        <f t="shared" ca="1" si="8"/>
        <v>#DIV/0!</v>
      </c>
      <c r="C59" s="98" t="e">
        <f t="shared" ca="1" si="3"/>
        <v>#DIV/0!</v>
      </c>
      <c r="D59" s="145" t="e">
        <f t="shared" ca="1" si="9"/>
        <v>#DIV/0!</v>
      </c>
      <c r="E59" s="97" t="str">
        <f t="shared" si="4"/>
        <v>De 20000 € à 22500 €</v>
      </c>
      <c r="F59" s="133" t="e">
        <f t="shared" ca="1" si="10"/>
        <v>#DIV/0!</v>
      </c>
      <c r="G59" s="98" t="e">
        <f t="shared" ca="1" si="5"/>
        <v>#DIV/0!</v>
      </c>
      <c r="H59" s="143" t="e">
        <f t="shared" ca="1" si="11"/>
        <v>#DIV/0!</v>
      </c>
      <c r="I59" s="97" t="str">
        <f t="shared" si="6"/>
        <v>De 20000 € à 22500 €</v>
      </c>
      <c r="J59" s="133" t="e">
        <f t="shared" ca="1" si="12"/>
        <v>#DIV/0!</v>
      </c>
      <c r="K59" s="108" t="e">
        <f t="shared" ca="1" si="13"/>
        <v>#DIV/0!</v>
      </c>
      <c r="L59" s="143" t="e">
        <f t="shared" ca="1" si="14"/>
        <v>#DIV/0!</v>
      </c>
      <c r="W59" s="99">
        <f t="shared" si="18"/>
        <v>20000</v>
      </c>
      <c r="X59" s="99">
        <f t="shared" si="19"/>
        <v>22500</v>
      </c>
      <c r="Y59" s="92">
        <v>538.27</v>
      </c>
      <c r="Z59" s="92">
        <v>538.27</v>
      </c>
      <c r="AA59" s="92">
        <v>538.27</v>
      </c>
      <c r="AC59" s="99">
        <f t="shared" si="7"/>
        <v>1770.8333333333333</v>
      </c>
      <c r="AE59" s="91" t="e">
        <f t="shared" ca="1" si="15"/>
        <v>#DIV/0!</v>
      </c>
      <c r="AF59" s="91" t="e">
        <f t="shared" ca="1" si="15"/>
        <v>#DIV/0!</v>
      </c>
      <c r="AG59" s="91" t="e">
        <f t="shared" ca="1" si="16"/>
        <v>#DIV/0!</v>
      </c>
      <c r="AH59" s="91" t="e">
        <f t="shared" ca="1" si="16"/>
        <v>#DIV/0!</v>
      </c>
      <c r="AI59" s="91" t="e">
        <f t="shared" ca="1" si="17"/>
        <v>#DIV/0!</v>
      </c>
      <c r="AJ59" s="91" t="e">
        <f t="shared" ca="1" si="17"/>
        <v>#DIV/0!</v>
      </c>
    </row>
    <row r="60" spans="1:39" x14ac:dyDescent="0.25">
      <c r="A60" s="97" t="str">
        <f t="shared" si="2"/>
        <v>De 22500 € à 23903 €</v>
      </c>
      <c r="B60" s="98" t="e">
        <f t="shared" ca="1" si="8"/>
        <v>#DIV/0!</v>
      </c>
      <c r="C60" s="98" t="e">
        <f t="shared" ca="1" si="3"/>
        <v>#DIV/0!</v>
      </c>
      <c r="D60" s="145" t="e">
        <f t="shared" ca="1" si="9"/>
        <v>#DIV/0!</v>
      </c>
      <c r="E60" s="97" t="str">
        <f t="shared" si="4"/>
        <v>De 22500 € à 23903 €</v>
      </c>
      <c r="F60" s="133" t="e">
        <f t="shared" ca="1" si="10"/>
        <v>#DIV/0!</v>
      </c>
      <c r="G60" s="98" t="e">
        <f t="shared" ca="1" si="5"/>
        <v>#DIV/0!</v>
      </c>
      <c r="H60" s="143" t="e">
        <f t="shared" ca="1" si="11"/>
        <v>#DIV/0!</v>
      </c>
      <c r="I60" s="97" t="str">
        <f t="shared" si="6"/>
        <v>De 22500 € à 23903 €</v>
      </c>
      <c r="J60" s="133" t="e">
        <f t="shared" ca="1" si="12"/>
        <v>#DIV/0!</v>
      </c>
      <c r="K60" s="108" t="e">
        <f t="shared" ca="1" si="13"/>
        <v>#DIV/0!</v>
      </c>
      <c r="L60" s="143" t="e">
        <f t="shared" ca="1" si="14"/>
        <v>#DIV/0!</v>
      </c>
      <c r="W60" s="99">
        <f t="shared" si="18"/>
        <v>22500</v>
      </c>
      <c r="X60" s="99">
        <v>23903</v>
      </c>
      <c r="Y60" s="92">
        <v>538.27</v>
      </c>
      <c r="Z60" s="92">
        <v>538.27</v>
      </c>
      <c r="AA60" s="92">
        <v>538.27</v>
      </c>
      <c r="AC60" s="99">
        <f t="shared" si="7"/>
        <v>1933.4583333333333</v>
      </c>
      <c r="AE60" s="91" t="e">
        <f t="shared" ca="1" si="15"/>
        <v>#DIV/0!</v>
      </c>
      <c r="AF60" s="91" t="e">
        <f t="shared" ca="1" si="15"/>
        <v>#DIV/0!</v>
      </c>
      <c r="AG60" s="91" t="e">
        <f t="shared" ca="1" si="16"/>
        <v>#DIV/0!</v>
      </c>
      <c r="AH60" s="91" t="e">
        <f t="shared" ca="1" si="16"/>
        <v>#DIV/0!</v>
      </c>
      <c r="AI60" s="91" t="e">
        <f t="shared" ca="1" si="17"/>
        <v>#DIV/0!</v>
      </c>
      <c r="AJ60" s="91" t="e">
        <f t="shared" ca="1" si="17"/>
        <v>#DIV/0!</v>
      </c>
    </row>
    <row r="61" spans="1:39" x14ac:dyDescent="0.25">
      <c r="A61" s="97" t="str">
        <f t="shared" si="2"/>
        <v>De 23903 € à 25000 €</v>
      </c>
      <c r="B61" s="98" t="e">
        <f t="shared" ca="1" si="8"/>
        <v>#DIV/0!</v>
      </c>
      <c r="C61" s="98" t="e">
        <f t="shared" ca="1" si="3"/>
        <v>#DIV/0!</v>
      </c>
      <c r="D61" s="145" t="e">
        <f t="shared" ca="1" si="9"/>
        <v>#DIV/0!</v>
      </c>
      <c r="E61" s="97" t="str">
        <f t="shared" si="4"/>
        <v>De 23903 € à 25000 €</v>
      </c>
      <c r="F61" s="133" t="e">
        <f t="shared" ca="1" si="10"/>
        <v>#DIV/0!</v>
      </c>
      <c r="G61" s="98" t="e">
        <f t="shared" ca="1" si="5"/>
        <v>#DIV/0!</v>
      </c>
      <c r="H61" s="143" t="e">
        <f t="shared" ca="1" si="11"/>
        <v>#DIV/0!</v>
      </c>
      <c r="I61" s="97" t="str">
        <f t="shared" si="6"/>
        <v>De 23903 € à 25000 €</v>
      </c>
      <c r="J61" s="133" t="e">
        <f t="shared" ca="1" si="12"/>
        <v>#DIV/0!</v>
      </c>
      <c r="K61" s="108" t="e">
        <f t="shared" ca="1" si="13"/>
        <v>#DIV/0!</v>
      </c>
      <c r="L61" s="143" t="e">
        <f t="shared" ca="1" si="14"/>
        <v>#DIV/0!</v>
      </c>
      <c r="W61" s="99">
        <f t="shared" si="18"/>
        <v>23903</v>
      </c>
      <c r="X61" s="99">
        <v>25000</v>
      </c>
      <c r="Y61" s="92">
        <v>339.42</v>
      </c>
      <c r="Z61" s="92">
        <v>538.27</v>
      </c>
      <c r="AA61" s="92">
        <v>538.27</v>
      </c>
      <c r="AC61" s="99">
        <f t="shared" si="7"/>
        <v>2037.625</v>
      </c>
      <c r="AE61" s="91" t="e">
        <f t="shared" ca="1" si="15"/>
        <v>#DIV/0!</v>
      </c>
      <c r="AF61" s="91" t="e">
        <f t="shared" ca="1" si="15"/>
        <v>#DIV/0!</v>
      </c>
      <c r="AG61" s="91" t="e">
        <f t="shared" ca="1" si="16"/>
        <v>#DIV/0!</v>
      </c>
      <c r="AH61" s="91" t="e">
        <f t="shared" ca="1" si="16"/>
        <v>#DIV/0!</v>
      </c>
      <c r="AI61" s="91" t="e">
        <f t="shared" ca="1" si="17"/>
        <v>#DIV/0!</v>
      </c>
      <c r="AJ61" s="91" t="e">
        <f t="shared" ca="1" si="17"/>
        <v>#DIV/0!</v>
      </c>
    </row>
    <row r="62" spans="1:39" x14ac:dyDescent="0.25">
      <c r="A62" s="97" t="str">
        <f t="shared" si="2"/>
        <v>De 25000 € à 27295 €</v>
      </c>
      <c r="B62" s="98" t="e">
        <f t="shared" ca="1" si="8"/>
        <v>#DIV/0!</v>
      </c>
      <c r="C62" s="98" t="e">
        <f t="shared" ca="1" si="3"/>
        <v>#DIV/0!</v>
      </c>
      <c r="D62" s="145" t="e">
        <f t="shared" ca="1" si="9"/>
        <v>#DIV/0!</v>
      </c>
      <c r="E62" s="97" t="str">
        <f t="shared" si="4"/>
        <v>De 25000 € à 27295 €</v>
      </c>
      <c r="F62" s="133" t="e">
        <f t="shared" ca="1" si="10"/>
        <v>#DIV/0!</v>
      </c>
      <c r="G62" s="98" t="e">
        <f t="shared" ca="1" si="5"/>
        <v>#DIV/0!</v>
      </c>
      <c r="H62" s="143" t="e">
        <f t="shared" ca="1" si="11"/>
        <v>#DIV/0!</v>
      </c>
      <c r="I62" s="97" t="str">
        <f t="shared" si="6"/>
        <v>De 25000 € à 27295 €</v>
      </c>
      <c r="J62" s="133" t="e">
        <f t="shared" ca="1" si="12"/>
        <v>#DIV/0!</v>
      </c>
      <c r="K62" s="108" t="e">
        <f t="shared" ca="1" si="13"/>
        <v>#DIV/0!</v>
      </c>
      <c r="L62" s="143" t="e">
        <f t="shared" ca="1" si="14"/>
        <v>#DIV/0!</v>
      </c>
      <c r="W62" s="99">
        <f t="shared" si="18"/>
        <v>25000</v>
      </c>
      <c r="X62" s="99">
        <v>27295</v>
      </c>
      <c r="Y62" s="92">
        <v>339.42</v>
      </c>
      <c r="Z62" s="92">
        <v>538.27</v>
      </c>
      <c r="AA62" s="92">
        <v>538.27</v>
      </c>
      <c r="AC62" s="99">
        <f t="shared" si="7"/>
        <v>2178.9583333333335</v>
      </c>
      <c r="AE62" s="91" t="e">
        <f t="shared" ca="1" si="15"/>
        <v>#DIV/0!</v>
      </c>
      <c r="AF62" s="91" t="e">
        <f t="shared" ca="1" si="15"/>
        <v>#DIV/0!</v>
      </c>
      <c r="AG62" s="91" t="e">
        <f t="shared" ca="1" si="16"/>
        <v>#DIV/0!</v>
      </c>
      <c r="AH62" s="91" t="e">
        <f t="shared" ca="1" si="16"/>
        <v>#DIV/0!</v>
      </c>
      <c r="AI62" s="91" t="e">
        <f t="shared" ca="1" si="17"/>
        <v>#DIV/0!</v>
      </c>
      <c r="AJ62" s="91" t="e">
        <f t="shared" ca="1" si="17"/>
        <v>#DIV/0!</v>
      </c>
    </row>
    <row r="63" spans="1:39" x14ac:dyDescent="0.25">
      <c r="A63" s="97" t="str">
        <f t="shared" si="2"/>
        <v>De 27295 € à 30687 €</v>
      </c>
      <c r="B63" s="98" t="e">
        <f t="shared" ca="1" si="8"/>
        <v>#DIV/0!</v>
      </c>
      <c r="C63" s="98" t="e">
        <f t="shared" ca="1" si="3"/>
        <v>#DIV/0!</v>
      </c>
      <c r="D63" s="145" t="e">
        <f t="shared" ca="1" si="9"/>
        <v>#DIV/0!</v>
      </c>
      <c r="E63" s="97" t="str">
        <f t="shared" si="4"/>
        <v>De 27295 € à 30687 €</v>
      </c>
      <c r="F63" s="133" t="e">
        <f t="shared" ca="1" si="10"/>
        <v>#DIV/0!</v>
      </c>
      <c r="G63" s="98" t="e">
        <f t="shared" ca="1" si="5"/>
        <v>#DIV/0!</v>
      </c>
      <c r="H63" s="143" t="e">
        <f t="shared" ca="1" si="11"/>
        <v>#DIV/0!</v>
      </c>
      <c r="I63" s="97" t="str">
        <f t="shared" si="6"/>
        <v>De 27295 € à 30687 €</v>
      </c>
      <c r="J63" s="133" t="e">
        <f t="shared" ca="1" si="12"/>
        <v>#DIV/0!</v>
      </c>
      <c r="K63" s="108" t="e">
        <f t="shared" ca="1" si="13"/>
        <v>#DIV/0!</v>
      </c>
      <c r="L63" s="143" t="e">
        <f t="shared" ca="1" si="14"/>
        <v>#DIV/0!</v>
      </c>
      <c r="W63" s="99">
        <f t="shared" si="18"/>
        <v>27295</v>
      </c>
      <c r="X63" s="99">
        <v>30687</v>
      </c>
      <c r="Y63" s="92">
        <v>339.42</v>
      </c>
      <c r="Z63" s="92">
        <v>339.42</v>
      </c>
      <c r="AA63" s="92">
        <v>538.27</v>
      </c>
      <c r="AC63" s="99">
        <f t="shared" si="7"/>
        <v>2415.9166666666665</v>
      </c>
      <c r="AE63" s="91" t="e">
        <f t="shared" ca="1" si="15"/>
        <v>#DIV/0!</v>
      </c>
      <c r="AF63" s="91" t="e">
        <f t="shared" ca="1" si="15"/>
        <v>#DIV/0!</v>
      </c>
      <c r="AG63" s="91" t="e">
        <f t="shared" ca="1" si="16"/>
        <v>#DIV/0!</v>
      </c>
      <c r="AH63" s="91" t="e">
        <f t="shared" ca="1" si="16"/>
        <v>#DIV/0!</v>
      </c>
      <c r="AI63" s="91" t="e">
        <f t="shared" ca="1" si="17"/>
        <v>#DIV/0!</v>
      </c>
      <c r="AJ63" s="91" t="e">
        <f t="shared" ca="1" si="17"/>
        <v>#DIV/0!</v>
      </c>
    </row>
    <row r="64" spans="1:39" x14ac:dyDescent="0.25">
      <c r="A64" s="97" t="str">
        <f t="shared" si="2"/>
        <v>De 30687 € à 32500 €</v>
      </c>
      <c r="B64" s="98" t="e">
        <f t="shared" ca="1" si="8"/>
        <v>#DIV/0!</v>
      </c>
      <c r="C64" s="98" t="e">
        <f t="shared" ca="1" si="3"/>
        <v>#DIV/0!</v>
      </c>
      <c r="D64" s="145" t="e">
        <f t="shared" ca="1" si="9"/>
        <v>#DIV/0!</v>
      </c>
      <c r="E64" s="97" t="str">
        <f t="shared" si="4"/>
        <v>De 30687 € à 32500 €</v>
      </c>
      <c r="F64" s="133" t="e">
        <f t="shared" ca="1" si="10"/>
        <v>#DIV/0!</v>
      </c>
      <c r="G64" s="98" t="e">
        <f t="shared" ca="1" si="5"/>
        <v>#DIV/0!</v>
      </c>
      <c r="H64" s="143" t="e">
        <f t="shared" ca="1" si="11"/>
        <v>#DIV/0!</v>
      </c>
      <c r="I64" s="97" t="str">
        <f t="shared" si="6"/>
        <v>De 30687 € à 32500 €</v>
      </c>
      <c r="J64" s="133" t="e">
        <f t="shared" ca="1" si="12"/>
        <v>#DIV/0!</v>
      </c>
      <c r="K64" s="108" t="e">
        <f t="shared" ca="1" si="13"/>
        <v>#DIV/0!</v>
      </c>
      <c r="L64" s="143" t="e">
        <f t="shared" ca="1" si="14"/>
        <v>#DIV/0!</v>
      </c>
      <c r="W64" s="99">
        <f t="shared" si="18"/>
        <v>30687</v>
      </c>
      <c r="X64" s="99">
        <v>32500</v>
      </c>
      <c r="Y64" s="92">
        <v>339.42</v>
      </c>
      <c r="Z64" s="92">
        <v>339.42</v>
      </c>
      <c r="AA64" s="92">
        <v>339.42</v>
      </c>
      <c r="AC64" s="99">
        <f t="shared" si="7"/>
        <v>2632.7916666666665</v>
      </c>
      <c r="AE64" s="91" t="e">
        <f t="shared" ca="1" si="15"/>
        <v>#DIV/0!</v>
      </c>
      <c r="AF64" s="91" t="e">
        <f t="shared" ca="1" si="15"/>
        <v>#DIV/0!</v>
      </c>
      <c r="AG64" s="91" t="e">
        <f t="shared" ca="1" si="16"/>
        <v>#DIV/0!</v>
      </c>
      <c r="AH64" s="91" t="e">
        <f t="shared" ca="1" si="16"/>
        <v>#DIV/0!</v>
      </c>
      <c r="AI64" s="91" t="e">
        <f t="shared" ca="1" si="17"/>
        <v>#DIV/0!</v>
      </c>
      <c r="AJ64" s="91" t="e">
        <f t="shared" ca="1" si="17"/>
        <v>#DIV/0!</v>
      </c>
    </row>
    <row r="65" spans="1:36" x14ac:dyDescent="0.25">
      <c r="A65" s="97" t="str">
        <f t="shared" si="2"/>
        <v>De 32500 € à 35000 €</v>
      </c>
      <c r="B65" s="98" t="e">
        <f t="shared" ca="1" si="8"/>
        <v>#DIV/0!</v>
      </c>
      <c r="C65" s="98" t="e">
        <f t="shared" ca="1" si="3"/>
        <v>#DIV/0!</v>
      </c>
      <c r="D65" s="145" t="e">
        <f t="shared" ca="1" si="9"/>
        <v>#DIV/0!</v>
      </c>
      <c r="E65" s="97" t="str">
        <f t="shared" si="4"/>
        <v>De 32500 € à 35000 €</v>
      </c>
      <c r="F65" s="133" t="e">
        <f t="shared" ca="1" si="10"/>
        <v>#DIV/0!</v>
      </c>
      <c r="G65" s="98" t="e">
        <f t="shared" ca="1" si="5"/>
        <v>#DIV/0!</v>
      </c>
      <c r="H65" s="143" t="e">
        <f t="shared" ca="1" si="11"/>
        <v>#DIV/0!</v>
      </c>
      <c r="I65" s="97" t="str">
        <f t="shared" si="6"/>
        <v>De 32500 € à 35000 €</v>
      </c>
      <c r="J65" s="133" t="e">
        <f t="shared" ca="1" si="12"/>
        <v>#DIV/0!</v>
      </c>
      <c r="K65" s="108" t="e">
        <f t="shared" ca="1" si="13"/>
        <v>#DIV/0!</v>
      </c>
      <c r="L65" s="143" t="e">
        <f t="shared" ca="1" si="14"/>
        <v>#DIV/0!</v>
      </c>
      <c r="W65" s="99">
        <f t="shared" si="18"/>
        <v>32500</v>
      </c>
      <c r="X65" s="99">
        <f t="shared" si="19"/>
        <v>35000</v>
      </c>
      <c r="Y65" s="92">
        <v>339.42</v>
      </c>
      <c r="Z65" s="92">
        <v>339.42</v>
      </c>
      <c r="AA65" s="92">
        <v>339.42</v>
      </c>
      <c r="AC65" s="99">
        <f t="shared" si="7"/>
        <v>2812.5</v>
      </c>
      <c r="AE65" s="91" t="e">
        <f t="shared" ca="1" si="15"/>
        <v>#DIV/0!</v>
      </c>
      <c r="AF65" s="91" t="e">
        <f t="shared" ca="1" si="15"/>
        <v>#DIV/0!</v>
      </c>
      <c r="AG65" s="91" t="e">
        <f t="shared" ca="1" si="16"/>
        <v>#DIV/0!</v>
      </c>
      <c r="AH65" s="91" t="e">
        <f t="shared" ca="1" si="16"/>
        <v>#DIV/0!</v>
      </c>
      <c r="AI65" s="91" t="e">
        <f t="shared" ca="1" si="17"/>
        <v>#DIV/0!</v>
      </c>
      <c r="AJ65" s="91" t="e">
        <f t="shared" ca="1" si="17"/>
        <v>#DIV/0!</v>
      </c>
    </row>
    <row r="66" spans="1:36" x14ac:dyDescent="0.25">
      <c r="A66" s="97" t="str">
        <f t="shared" si="2"/>
        <v>De 35000 € à 37500 €</v>
      </c>
      <c r="B66" s="98" t="e">
        <f t="shared" ca="1" si="8"/>
        <v>#DIV/0!</v>
      </c>
      <c r="C66" s="98" t="e">
        <f t="shared" ca="1" si="3"/>
        <v>#DIV/0!</v>
      </c>
      <c r="D66" s="145" t="e">
        <f t="shared" ca="1" si="9"/>
        <v>#DIV/0!</v>
      </c>
      <c r="E66" s="97" t="str">
        <f t="shared" si="4"/>
        <v>De 35000 € à 37500 €</v>
      </c>
      <c r="F66" s="133" t="e">
        <f t="shared" ca="1" si="10"/>
        <v>#DIV/0!</v>
      </c>
      <c r="G66" s="98" t="e">
        <f t="shared" ca="1" si="5"/>
        <v>#DIV/0!</v>
      </c>
      <c r="H66" s="143" t="e">
        <f t="shared" ca="1" si="11"/>
        <v>#DIV/0!</v>
      </c>
      <c r="I66" s="97" t="str">
        <f t="shared" si="6"/>
        <v>De 35000 € à 37500 €</v>
      </c>
      <c r="J66" s="133" t="e">
        <f t="shared" ca="1" si="12"/>
        <v>#DIV/0!</v>
      </c>
      <c r="K66" s="108" t="e">
        <f t="shared" ca="1" si="13"/>
        <v>#DIV/0!</v>
      </c>
      <c r="L66" s="143" t="e">
        <f t="shared" ca="1" si="14"/>
        <v>#DIV/0!</v>
      </c>
      <c r="W66" s="99">
        <f t="shared" si="18"/>
        <v>35000</v>
      </c>
      <c r="X66" s="99">
        <f t="shared" si="19"/>
        <v>37500</v>
      </c>
      <c r="Y66" s="92">
        <v>339.42</v>
      </c>
      <c r="Z66" s="92">
        <v>339.42</v>
      </c>
      <c r="AA66" s="92">
        <v>339.42</v>
      </c>
      <c r="AC66" s="99">
        <f t="shared" si="7"/>
        <v>3020.8333333333335</v>
      </c>
      <c r="AE66" s="91" t="e">
        <f t="shared" ca="1" si="15"/>
        <v>#DIV/0!</v>
      </c>
      <c r="AF66" s="91" t="e">
        <f t="shared" ca="1" si="15"/>
        <v>#DIV/0!</v>
      </c>
      <c r="AG66" s="91" t="e">
        <f t="shared" ca="1" si="16"/>
        <v>#DIV/0!</v>
      </c>
      <c r="AH66" s="91" t="e">
        <f t="shared" ca="1" si="16"/>
        <v>#DIV/0!</v>
      </c>
      <c r="AI66" s="91" t="e">
        <f t="shared" ca="1" si="17"/>
        <v>#DIV/0!</v>
      </c>
      <c r="AJ66" s="91" t="e">
        <f t="shared" ca="1" si="17"/>
        <v>#DIV/0!</v>
      </c>
    </row>
    <row r="67" spans="1:36" x14ac:dyDescent="0.25">
      <c r="A67" s="97" t="str">
        <f t="shared" si="2"/>
        <v>De 37500 € à 40000 €</v>
      </c>
      <c r="B67" s="98" t="e">
        <f t="shared" ca="1" si="8"/>
        <v>#DIV/0!</v>
      </c>
      <c r="C67" s="98" t="e">
        <f t="shared" ca="1" si="3"/>
        <v>#DIV/0!</v>
      </c>
      <c r="D67" s="145" t="e">
        <f t="shared" ca="1" si="9"/>
        <v>#DIV/0!</v>
      </c>
      <c r="E67" s="97" t="str">
        <f t="shared" si="4"/>
        <v>De 37500 € à 40000 €</v>
      </c>
      <c r="F67" s="133" t="e">
        <f t="shared" ca="1" si="10"/>
        <v>#DIV/0!</v>
      </c>
      <c r="G67" s="98" t="e">
        <f t="shared" ca="1" si="5"/>
        <v>#DIV/0!</v>
      </c>
      <c r="H67" s="143" t="e">
        <f t="shared" ca="1" si="11"/>
        <v>#DIV/0!</v>
      </c>
      <c r="I67" s="97" t="str">
        <f t="shared" si="6"/>
        <v>De 37500 € à 40000 €</v>
      </c>
      <c r="J67" s="133" t="e">
        <f t="shared" ca="1" si="12"/>
        <v>#DIV/0!</v>
      </c>
      <c r="K67" s="108" t="e">
        <f t="shared" ca="1" si="13"/>
        <v>#DIV/0!</v>
      </c>
      <c r="L67" s="143" t="e">
        <f t="shared" ca="1" si="14"/>
        <v>#DIV/0!</v>
      </c>
      <c r="W67" s="99">
        <f t="shared" si="18"/>
        <v>37500</v>
      </c>
      <c r="X67" s="99">
        <f t="shared" si="19"/>
        <v>40000</v>
      </c>
      <c r="Y67" s="92">
        <v>339.42</v>
      </c>
      <c r="Z67" s="92">
        <v>339.42</v>
      </c>
      <c r="AA67" s="92">
        <v>339.42</v>
      </c>
      <c r="AC67" s="99">
        <f t="shared" si="7"/>
        <v>3229.1666666666665</v>
      </c>
      <c r="AE67" s="91" t="e">
        <f t="shared" ca="1" si="15"/>
        <v>#DIV/0!</v>
      </c>
      <c r="AF67" s="91" t="e">
        <f t="shared" ca="1" si="15"/>
        <v>#DIV/0!</v>
      </c>
      <c r="AG67" s="91" t="e">
        <f t="shared" ca="1" si="16"/>
        <v>#DIV/0!</v>
      </c>
      <c r="AH67" s="91" t="e">
        <f t="shared" ca="1" si="16"/>
        <v>#DIV/0!</v>
      </c>
      <c r="AI67" s="91" t="e">
        <f t="shared" ca="1" si="17"/>
        <v>#DIV/0!</v>
      </c>
      <c r="AJ67" s="91" t="e">
        <f t="shared" ca="1" si="17"/>
        <v>#DIV/0!</v>
      </c>
    </row>
    <row r="68" spans="1:36" x14ac:dyDescent="0.25">
      <c r="A68" s="97" t="str">
        <f t="shared" si="2"/>
        <v>De 40000 € à 42500 €</v>
      </c>
      <c r="B68" s="98" t="e">
        <f t="shared" ca="1" si="8"/>
        <v>#DIV/0!</v>
      </c>
      <c r="C68" s="98" t="e">
        <f t="shared" ca="1" si="3"/>
        <v>#DIV/0!</v>
      </c>
      <c r="D68" s="145" t="e">
        <f t="shared" ca="1" si="9"/>
        <v>#DIV/0!</v>
      </c>
      <c r="E68" s="97" t="str">
        <f t="shared" si="4"/>
        <v>De 40000 € à 42500 €</v>
      </c>
      <c r="F68" s="133" t="e">
        <f t="shared" ca="1" si="10"/>
        <v>#DIV/0!</v>
      </c>
      <c r="G68" s="98" t="e">
        <f t="shared" ca="1" si="5"/>
        <v>#DIV/0!</v>
      </c>
      <c r="H68" s="143" t="e">
        <f t="shared" ca="1" si="11"/>
        <v>#DIV/0!</v>
      </c>
      <c r="I68" s="97" t="str">
        <f t="shared" si="6"/>
        <v>De 40000 € à 42500 €</v>
      </c>
      <c r="J68" s="133" t="e">
        <f t="shared" ca="1" si="12"/>
        <v>#DIV/0!</v>
      </c>
      <c r="K68" s="108" t="e">
        <f t="shared" ca="1" si="13"/>
        <v>#DIV/0!</v>
      </c>
      <c r="L68" s="143" t="e">
        <f t="shared" ca="1" si="14"/>
        <v>#DIV/0!</v>
      </c>
      <c r="W68" s="99">
        <f t="shared" si="18"/>
        <v>40000</v>
      </c>
      <c r="X68" s="99">
        <f t="shared" si="19"/>
        <v>42500</v>
      </c>
      <c r="Y68" s="92">
        <v>339.42</v>
      </c>
      <c r="Z68" s="92">
        <v>339.42</v>
      </c>
      <c r="AA68" s="92">
        <v>339.42</v>
      </c>
      <c r="AC68" s="99">
        <f t="shared" si="7"/>
        <v>3437.5</v>
      </c>
      <c r="AE68" s="91" t="e">
        <f t="shared" ca="1" si="15"/>
        <v>#DIV/0!</v>
      </c>
      <c r="AF68" s="91" t="e">
        <f t="shared" ca="1" si="15"/>
        <v>#DIV/0!</v>
      </c>
      <c r="AG68" s="91" t="e">
        <f t="shared" ca="1" si="16"/>
        <v>#DIV/0!</v>
      </c>
      <c r="AH68" s="91" t="e">
        <f t="shared" ca="1" si="16"/>
        <v>#DIV/0!</v>
      </c>
      <c r="AI68" s="91" t="e">
        <f t="shared" ca="1" si="17"/>
        <v>#DIV/0!</v>
      </c>
      <c r="AJ68" s="91" t="e">
        <f t="shared" ca="1" si="17"/>
        <v>#DIV/0!</v>
      </c>
    </row>
    <row r="69" spans="1:36" x14ac:dyDescent="0.25">
      <c r="A69" s="97" t="str">
        <f t="shared" si="2"/>
        <v>De 42500 € à 45000 €</v>
      </c>
      <c r="B69" s="98" t="e">
        <f t="shared" ca="1" si="8"/>
        <v>#DIV/0!</v>
      </c>
      <c r="C69" s="98" t="e">
        <f t="shared" ca="1" si="3"/>
        <v>#DIV/0!</v>
      </c>
      <c r="D69" s="145" t="e">
        <f t="shared" ca="1" si="9"/>
        <v>#DIV/0!</v>
      </c>
      <c r="E69" s="97" t="str">
        <f t="shared" si="4"/>
        <v>De 42500 € à 45000 €</v>
      </c>
      <c r="F69" s="133" t="e">
        <f t="shared" ca="1" si="10"/>
        <v>#DIV/0!</v>
      </c>
      <c r="G69" s="98" t="e">
        <f t="shared" ca="1" si="5"/>
        <v>#DIV/0!</v>
      </c>
      <c r="H69" s="143" t="e">
        <f t="shared" ca="1" si="11"/>
        <v>#DIV/0!</v>
      </c>
      <c r="I69" s="97" t="str">
        <f t="shared" si="6"/>
        <v>De 42500 € à 45000 €</v>
      </c>
      <c r="J69" s="133" t="e">
        <f t="shared" ca="1" si="12"/>
        <v>#DIV/0!</v>
      </c>
      <c r="K69" s="108" t="e">
        <f t="shared" ca="1" si="13"/>
        <v>#DIV/0!</v>
      </c>
      <c r="L69" s="143" t="e">
        <f t="shared" ca="1" si="14"/>
        <v>#DIV/0!</v>
      </c>
      <c r="W69" s="99">
        <f t="shared" si="18"/>
        <v>42500</v>
      </c>
      <c r="X69" s="99">
        <f t="shared" si="19"/>
        <v>45000</v>
      </c>
      <c r="Y69" s="92">
        <v>339.42</v>
      </c>
      <c r="Z69" s="92">
        <v>339.42</v>
      </c>
      <c r="AA69" s="92">
        <v>339.42</v>
      </c>
      <c r="AC69" s="99">
        <f t="shared" si="7"/>
        <v>3645.8333333333335</v>
      </c>
      <c r="AE69" s="91" t="e">
        <f t="shared" ca="1" si="15"/>
        <v>#DIV/0!</v>
      </c>
      <c r="AF69" s="91" t="e">
        <f t="shared" ca="1" si="15"/>
        <v>#DIV/0!</v>
      </c>
      <c r="AG69" s="91" t="e">
        <f t="shared" ca="1" si="16"/>
        <v>#DIV/0!</v>
      </c>
      <c r="AH69" s="91" t="e">
        <f t="shared" ca="1" si="16"/>
        <v>#DIV/0!</v>
      </c>
      <c r="AI69" s="91" t="e">
        <f t="shared" ca="1" si="17"/>
        <v>#DIV/0!</v>
      </c>
      <c r="AJ69" s="91" t="e">
        <f t="shared" ca="1" si="17"/>
        <v>#DIV/0!</v>
      </c>
    </row>
    <row r="70" spans="1:36" x14ac:dyDescent="0.25">
      <c r="A70" s="97" t="str">
        <f t="shared" si="2"/>
        <v>De 45000 € à 47500 €</v>
      </c>
      <c r="B70" s="98" t="e">
        <f t="shared" ca="1" si="8"/>
        <v>#DIV/0!</v>
      </c>
      <c r="C70" s="98" t="e">
        <f t="shared" ca="1" si="3"/>
        <v>#DIV/0!</v>
      </c>
      <c r="D70" s="145" t="e">
        <f t="shared" ca="1" si="9"/>
        <v>#DIV/0!</v>
      </c>
      <c r="E70" s="97" t="str">
        <f t="shared" si="4"/>
        <v>De 45000 € à 47500 €</v>
      </c>
      <c r="F70" s="133" t="e">
        <f t="shared" ca="1" si="10"/>
        <v>#DIV/0!</v>
      </c>
      <c r="G70" s="98" t="e">
        <f t="shared" ca="1" si="5"/>
        <v>#DIV/0!</v>
      </c>
      <c r="H70" s="143" t="e">
        <f t="shared" ca="1" si="11"/>
        <v>#DIV/0!</v>
      </c>
      <c r="I70" s="97" t="str">
        <f t="shared" si="6"/>
        <v>De 45000 € à 47500 €</v>
      </c>
      <c r="J70" s="133" t="e">
        <f t="shared" ca="1" si="12"/>
        <v>#DIV/0!</v>
      </c>
      <c r="K70" s="108" t="e">
        <f t="shared" ca="1" si="13"/>
        <v>#DIV/0!</v>
      </c>
      <c r="L70" s="143" t="e">
        <f t="shared" ca="1" si="14"/>
        <v>#DIV/0!</v>
      </c>
      <c r="W70" s="99">
        <f t="shared" si="18"/>
        <v>45000</v>
      </c>
      <c r="X70" s="99">
        <f t="shared" si="19"/>
        <v>47500</v>
      </c>
      <c r="Y70" s="92">
        <v>339.42</v>
      </c>
      <c r="Z70" s="92">
        <v>339.42</v>
      </c>
      <c r="AA70" s="92">
        <v>339.42</v>
      </c>
      <c r="AC70" s="99">
        <f t="shared" si="7"/>
        <v>3854.1666666666665</v>
      </c>
      <c r="AE70" s="91" t="e">
        <f t="shared" ref="AE70:AF96" ca="1" si="20">IF(+AND($E$39="NON",(($G$30-((($G$30/$E$30)*$AB$29)*MIN($X$30,MAX($X$29,W70/12))))*$E$33)&gt;0),(($G$30-((($G$30/$E$30)*$AB$29)*MIN($X$30,MAX($X$29,W70/12))))*$E$33),IF(AND($E$39="OUI",($G$30-((($G$30/$E$30)*$AB$30)*MIN($X$30,MAX($X$29,W70/12))))*$E$33&gt;0),($G$30-((($G$30/$E$30)*$AB$30)*MIN($X$30,MAX($X$29,W70/12))))*$E$33,0))</f>
        <v>#DIV/0!</v>
      </c>
      <c r="AF70" s="91" t="e">
        <f t="shared" ca="1" si="20"/>
        <v>#DIV/0!</v>
      </c>
      <c r="AG70" s="91" t="e">
        <f t="shared" ca="1" si="16"/>
        <v>#DIV/0!</v>
      </c>
      <c r="AH70" s="91" t="e">
        <f t="shared" ca="1" si="16"/>
        <v>#DIV/0!</v>
      </c>
      <c r="AI70" s="91" t="e">
        <f t="shared" ca="1" si="17"/>
        <v>#DIV/0!</v>
      </c>
      <c r="AJ70" s="91" t="e">
        <f t="shared" ca="1" si="17"/>
        <v>#DIV/0!</v>
      </c>
    </row>
    <row r="71" spans="1:36" x14ac:dyDescent="0.25">
      <c r="A71" s="97" t="str">
        <f t="shared" si="2"/>
        <v>De 47500 € à 50000 €</v>
      </c>
      <c r="B71" s="98" t="e">
        <f t="shared" ca="1" si="8"/>
        <v>#DIV/0!</v>
      </c>
      <c r="C71" s="98" t="e">
        <f t="shared" ca="1" si="3"/>
        <v>#DIV/0!</v>
      </c>
      <c r="D71" s="145" t="e">
        <f t="shared" ca="1" si="9"/>
        <v>#DIV/0!</v>
      </c>
      <c r="E71" s="97" t="str">
        <f t="shared" si="4"/>
        <v>De 47500 € à 50000 €</v>
      </c>
      <c r="F71" s="133" t="e">
        <f t="shared" ca="1" si="10"/>
        <v>#DIV/0!</v>
      </c>
      <c r="G71" s="98" t="e">
        <f t="shared" ca="1" si="5"/>
        <v>#DIV/0!</v>
      </c>
      <c r="H71" s="143" t="e">
        <f t="shared" ca="1" si="11"/>
        <v>#DIV/0!</v>
      </c>
      <c r="I71" s="97" t="str">
        <f t="shared" si="6"/>
        <v>De 47500 € à 50000 €</v>
      </c>
      <c r="J71" s="133" t="e">
        <f t="shared" ca="1" si="12"/>
        <v>#DIV/0!</v>
      </c>
      <c r="K71" s="108" t="e">
        <f t="shared" ca="1" si="13"/>
        <v>#DIV/0!</v>
      </c>
      <c r="L71" s="143" t="e">
        <f t="shared" ca="1" si="14"/>
        <v>#DIV/0!</v>
      </c>
      <c r="W71" s="99">
        <f t="shared" si="18"/>
        <v>47500</v>
      </c>
      <c r="X71" s="99">
        <f t="shared" si="19"/>
        <v>50000</v>
      </c>
      <c r="Y71" s="92">
        <v>339.42</v>
      </c>
      <c r="Z71" s="92">
        <v>339.42</v>
      </c>
      <c r="AA71" s="92">
        <v>339.42</v>
      </c>
      <c r="AC71" s="99">
        <f t="shared" si="7"/>
        <v>4062.5</v>
      </c>
      <c r="AE71" s="91" t="e">
        <f t="shared" ca="1" si="20"/>
        <v>#DIV/0!</v>
      </c>
      <c r="AF71" s="91" t="e">
        <f t="shared" ca="1" si="20"/>
        <v>#DIV/0!</v>
      </c>
      <c r="AG71" s="91" t="e">
        <f t="shared" ca="1" si="16"/>
        <v>#DIV/0!</v>
      </c>
      <c r="AH71" s="91" t="e">
        <f t="shared" ca="1" si="16"/>
        <v>#DIV/0!</v>
      </c>
      <c r="AI71" s="91" t="e">
        <f t="shared" ca="1" si="17"/>
        <v>#DIV/0!</v>
      </c>
      <c r="AJ71" s="91" t="e">
        <f t="shared" ca="1" si="17"/>
        <v>#DIV/0!</v>
      </c>
    </row>
    <row r="72" spans="1:36" x14ac:dyDescent="0.25">
      <c r="A72" s="97" t="str">
        <f t="shared" si="2"/>
        <v>De 50000 € à 52500 €</v>
      </c>
      <c r="B72" s="98" t="e">
        <f t="shared" ca="1" si="8"/>
        <v>#DIV/0!</v>
      </c>
      <c r="C72" s="98" t="e">
        <f t="shared" ca="1" si="3"/>
        <v>#DIV/0!</v>
      </c>
      <c r="D72" s="145" t="e">
        <f t="shared" ca="1" si="9"/>
        <v>#DIV/0!</v>
      </c>
      <c r="E72" s="97" t="str">
        <f t="shared" si="4"/>
        <v>De 50000 € à 52500 €</v>
      </c>
      <c r="F72" s="133" t="e">
        <f t="shared" ca="1" si="10"/>
        <v>#DIV/0!</v>
      </c>
      <c r="G72" s="98" t="e">
        <f t="shared" ca="1" si="5"/>
        <v>#DIV/0!</v>
      </c>
      <c r="H72" s="143" t="e">
        <f t="shared" ca="1" si="11"/>
        <v>#DIV/0!</v>
      </c>
      <c r="I72" s="97" t="str">
        <f t="shared" si="6"/>
        <v>De 50000 € à 52500 €</v>
      </c>
      <c r="J72" s="133" t="e">
        <f t="shared" ca="1" si="12"/>
        <v>#DIV/0!</v>
      </c>
      <c r="K72" s="108" t="e">
        <f t="shared" ca="1" si="13"/>
        <v>#DIV/0!</v>
      </c>
      <c r="L72" s="143" t="e">
        <f t="shared" ca="1" si="14"/>
        <v>#DIV/0!</v>
      </c>
      <c r="W72" s="99">
        <f t="shared" si="18"/>
        <v>50000</v>
      </c>
      <c r="X72" s="99">
        <f t="shared" si="19"/>
        <v>52500</v>
      </c>
      <c r="Y72" s="92">
        <v>339.42</v>
      </c>
      <c r="Z72" s="92">
        <v>339.42</v>
      </c>
      <c r="AA72" s="92">
        <v>339.42</v>
      </c>
      <c r="AC72" s="99">
        <f t="shared" si="7"/>
        <v>4270.833333333333</v>
      </c>
      <c r="AE72" s="91" t="e">
        <f t="shared" ca="1" si="20"/>
        <v>#DIV/0!</v>
      </c>
      <c r="AF72" s="91" t="e">
        <f t="shared" ca="1" si="20"/>
        <v>#DIV/0!</v>
      </c>
      <c r="AG72" s="91" t="e">
        <f t="shared" ca="1" si="16"/>
        <v>#DIV/0!</v>
      </c>
      <c r="AH72" s="91" t="e">
        <f t="shared" ca="1" si="16"/>
        <v>#DIV/0!</v>
      </c>
      <c r="AI72" s="91" t="e">
        <f t="shared" ca="1" si="17"/>
        <v>#DIV/0!</v>
      </c>
      <c r="AJ72" s="91" t="e">
        <f t="shared" ca="1" si="17"/>
        <v>#DIV/0!</v>
      </c>
    </row>
    <row r="73" spans="1:36" x14ac:dyDescent="0.25">
      <c r="A73" s="97" t="str">
        <f t="shared" si="2"/>
        <v>De 52500 € à 53119 €</v>
      </c>
      <c r="B73" s="98" t="e">
        <f t="shared" ca="1" si="8"/>
        <v>#DIV/0!</v>
      </c>
      <c r="C73" s="98" t="e">
        <f t="shared" ca="1" si="3"/>
        <v>#DIV/0!</v>
      </c>
      <c r="D73" s="145" t="e">
        <f t="shared" ca="1" si="9"/>
        <v>#DIV/0!</v>
      </c>
      <c r="E73" s="97" t="str">
        <f t="shared" si="4"/>
        <v>De 52500 € à 53119 €</v>
      </c>
      <c r="F73" s="133" t="e">
        <f t="shared" ca="1" si="10"/>
        <v>#DIV/0!</v>
      </c>
      <c r="G73" s="98" t="e">
        <f t="shared" ca="1" si="5"/>
        <v>#DIV/0!</v>
      </c>
      <c r="H73" s="143" t="e">
        <f t="shared" ca="1" si="11"/>
        <v>#DIV/0!</v>
      </c>
      <c r="I73" s="97" t="str">
        <f t="shared" si="6"/>
        <v>De 52500 € à 53119 €</v>
      </c>
      <c r="J73" s="133" t="e">
        <f t="shared" ca="1" si="12"/>
        <v>#DIV/0!</v>
      </c>
      <c r="K73" s="108" t="e">
        <f t="shared" ca="1" si="13"/>
        <v>#DIV/0!</v>
      </c>
      <c r="L73" s="143" t="e">
        <f t="shared" ca="1" si="14"/>
        <v>#DIV/0!</v>
      </c>
      <c r="W73" s="99">
        <f t="shared" si="18"/>
        <v>52500</v>
      </c>
      <c r="X73" s="99">
        <v>53119</v>
      </c>
      <c r="Y73" s="92">
        <v>339.42</v>
      </c>
      <c r="Z73" s="92">
        <v>339.42</v>
      </c>
      <c r="AA73" s="92">
        <v>339.42</v>
      </c>
      <c r="AC73" s="99">
        <f t="shared" si="7"/>
        <v>4400.791666666667</v>
      </c>
      <c r="AE73" s="91" t="e">
        <f t="shared" ca="1" si="20"/>
        <v>#DIV/0!</v>
      </c>
      <c r="AF73" s="91" t="e">
        <f t="shared" ca="1" si="20"/>
        <v>#DIV/0!</v>
      </c>
      <c r="AG73" s="91" t="e">
        <f t="shared" ca="1" si="16"/>
        <v>#DIV/0!</v>
      </c>
      <c r="AH73" s="91" t="e">
        <f t="shared" ca="1" si="16"/>
        <v>#DIV/0!</v>
      </c>
      <c r="AI73" s="91" t="e">
        <f t="shared" ca="1" si="17"/>
        <v>#DIV/0!</v>
      </c>
      <c r="AJ73" s="91" t="e">
        <f t="shared" ca="1" si="17"/>
        <v>#DIV/0!</v>
      </c>
    </row>
    <row r="74" spans="1:36" x14ac:dyDescent="0.25">
      <c r="A74" s="97" t="str">
        <f t="shared" si="2"/>
        <v>De 53119 € à 55000 €</v>
      </c>
      <c r="B74" s="98" t="e">
        <f t="shared" ca="1" si="8"/>
        <v>#DIV/0!</v>
      </c>
      <c r="C74" s="98" t="e">
        <f t="shared" ca="1" si="3"/>
        <v>#DIV/0!</v>
      </c>
      <c r="D74" s="145" t="e">
        <f t="shared" ca="1" si="9"/>
        <v>#DIV/0!</v>
      </c>
      <c r="E74" s="97" t="str">
        <f t="shared" si="4"/>
        <v>De 53119 € à 55000 €</v>
      </c>
      <c r="F74" s="133" t="e">
        <f t="shared" ca="1" si="10"/>
        <v>#DIV/0!</v>
      </c>
      <c r="G74" s="98" t="e">
        <f t="shared" ca="1" si="5"/>
        <v>#DIV/0!</v>
      </c>
      <c r="H74" s="143" t="e">
        <f t="shared" ca="1" si="11"/>
        <v>#DIV/0!</v>
      </c>
      <c r="I74" s="97" t="str">
        <f t="shared" si="6"/>
        <v>De 53119 € à 55000 €</v>
      </c>
      <c r="J74" s="133" t="e">
        <f t="shared" ca="1" si="12"/>
        <v>#DIV/0!</v>
      </c>
      <c r="K74" s="108" t="e">
        <f t="shared" ca="1" si="13"/>
        <v>#DIV/0!</v>
      </c>
      <c r="L74" s="143" t="e">
        <f t="shared" ca="1" si="14"/>
        <v>#DIV/0!</v>
      </c>
      <c r="W74" s="99">
        <f t="shared" si="18"/>
        <v>53119</v>
      </c>
      <c r="X74" s="99">
        <v>55000</v>
      </c>
      <c r="Y74" s="92">
        <v>203.62</v>
      </c>
      <c r="Z74" s="92">
        <v>339.42</v>
      </c>
      <c r="AA74" s="92">
        <v>339.42</v>
      </c>
      <c r="AC74" s="99">
        <f t="shared" si="7"/>
        <v>4504.958333333333</v>
      </c>
      <c r="AE74" s="91" t="e">
        <f t="shared" ca="1" si="20"/>
        <v>#DIV/0!</v>
      </c>
      <c r="AF74" s="91" t="e">
        <f t="shared" ca="1" si="20"/>
        <v>#DIV/0!</v>
      </c>
      <c r="AG74" s="91" t="e">
        <f t="shared" ca="1" si="16"/>
        <v>#DIV/0!</v>
      </c>
      <c r="AH74" s="91" t="e">
        <f t="shared" ca="1" si="16"/>
        <v>#DIV/0!</v>
      </c>
      <c r="AI74" s="91" t="e">
        <f t="shared" ca="1" si="17"/>
        <v>#DIV/0!</v>
      </c>
      <c r="AJ74" s="91" t="e">
        <f t="shared" ca="1" si="17"/>
        <v>#DIV/0!</v>
      </c>
    </row>
    <row r="75" spans="1:36" x14ac:dyDescent="0.25">
      <c r="A75" s="97" t="str">
        <f t="shared" si="2"/>
        <v>De 55000 € à 57500 €</v>
      </c>
      <c r="B75" s="98" t="e">
        <f t="shared" ca="1" si="8"/>
        <v>#DIV/0!</v>
      </c>
      <c r="C75" s="98" t="e">
        <f t="shared" ca="1" si="3"/>
        <v>#DIV/0!</v>
      </c>
      <c r="D75" s="145" t="e">
        <f t="shared" ca="1" si="9"/>
        <v>#DIV/0!</v>
      </c>
      <c r="E75" s="97" t="str">
        <f t="shared" si="4"/>
        <v>De 55000 € à 57500 €</v>
      </c>
      <c r="F75" s="133" t="e">
        <f t="shared" ca="1" si="10"/>
        <v>#DIV/0!</v>
      </c>
      <c r="G75" s="98" t="e">
        <f t="shared" ca="1" si="5"/>
        <v>#DIV/0!</v>
      </c>
      <c r="H75" s="143" t="e">
        <f t="shared" ca="1" si="11"/>
        <v>#DIV/0!</v>
      </c>
      <c r="I75" s="97" t="str">
        <f t="shared" si="6"/>
        <v>De 55000 € à 57500 €</v>
      </c>
      <c r="J75" s="133" t="e">
        <f t="shared" ca="1" si="12"/>
        <v>#DIV/0!</v>
      </c>
      <c r="K75" s="108" t="e">
        <f t="shared" ca="1" si="13"/>
        <v>#DIV/0!</v>
      </c>
      <c r="L75" s="143" t="e">
        <f t="shared" ca="1" si="14"/>
        <v>#DIV/0!</v>
      </c>
      <c r="W75" s="99">
        <f t="shared" si="18"/>
        <v>55000</v>
      </c>
      <c r="X75" s="99">
        <f t="shared" si="19"/>
        <v>57500</v>
      </c>
      <c r="Y75" s="92">
        <v>203.62</v>
      </c>
      <c r="Z75" s="92">
        <v>339.42</v>
      </c>
      <c r="AA75" s="92">
        <v>339.42</v>
      </c>
      <c r="AC75" s="99">
        <f t="shared" si="7"/>
        <v>4687.5</v>
      </c>
      <c r="AE75" s="91" t="e">
        <f t="shared" ca="1" si="20"/>
        <v>#DIV/0!</v>
      </c>
      <c r="AF75" s="91" t="e">
        <f t="shared" ca="1" si="20"/>
        <v>#DIV/0!</v>
      </c>
      <c r="AG75" s="91" t="e">
        <f t="shared" ca="1" si="16"/>
        <v>#DIV/0!</v>
      </c>
      <c r="AH75" s="91" t="e">
        <f t="shared" ca="1" si="16"/>
        <v>#DIV/0!</v>
      </c>
      <c r="AI75" s="91" t="e">
        <f t="shared" ca="1" si="17"/>
        <v>#DIV/0!</v>
      </c>
      <c r="AJ75" s="91" t="e">
        <f t="shared" ca="1" si="17"/>
        <v>#DIV/0!</v>
      </c>
    </row>
    <row r="76" spans="1:36" x14ac:dyDescent="0.25">
      <c r="A76" s="97" t="str">
        <f t="shared" si="2"/>
        <v>De 57500 € à 60659 €</v>
      </c>
      <c r="B76" s="98" t="e">
        <f t="shared" ca="1" si="8"/>
        <v>#DIV/0!</v>
      </c>
      <c r="C76" s="98" t="e">
        <f t="shared" ca="1" si="3"/>
        <v>#DIV/0!</v>
      </c>
      <c r="D76" s="145" t="e">
        <f t="shared" ca="1" si="9"/>
        <v>#DIV/0!</v>
      </c>
      <c r="E76" s="97" t="str">
        <f t="shared" si="4"/>
        <v>De 57500 € à 60659 €</v>
      </c>
      <c r="F76" s="133" t="e">
        <f t="shared" ca="1" si="10"/>
        <v>#DIV/0!</v>
      </c>
      <c r="G76" s="98" t="e">
        <f t="shared" ca="1" si="5"/>
        <v>#DIV/0!</v>
      </c>
      <c r="H76" s="143" t="e">
        <f t="shared" ca="1" si="11"/>
        <v>#DIV/0!</v>
      </c>
      <c r="I76" s="97" t="str">
        <f t="shared" si="6"/>
        <v>De 57500 € à 60659 €</v>
      </c>
      <c r="J76" s="133" t="e">
        <f t="shared" ca="1" si="12"/>
        <v>#DIV/0!</v>
      </c>
      <c r="K76" s="108" t="e">
        <f t="shared" ca="1" si="13"/>
        <v>#DIV/0!</v>
      </c>
      <c r="L76" s="143" t="e">
        <f t="shared" ca="1" si="14"/>
        <v>#DIV/0!</v>
      </c>
      <c r="W76" s="99">
        <f t="shared" si="18"/>
        <v>57500</v>
      </c>
      <c r="X76" s="99">
        <v>60659</v>
      </c>
      <c r="Y76" s="92">
        <v>203.62</v>
      </c>
      <c r="Z76" s="92">
        <v>339.42</v>
      </c>
      <c r="AA76" s="92">
        <v>339.42</v>
      </c>
      <c r="AC76" s="99">
        <f t="shared" si="7"/>
        <v>4923.291666666667</v>
      </c>
      <c r="AE76" s="91" t="e">
        <f t="shared" ca="1" si="20"/>
        <v>#DIV/0!</v>
      </c>
      <c r="AF76" s="91" t="e">
        <f t="shared" ca="1" si="20"/>
        <v>#DIV/0!</v>
      </c>
      <c r="AG76" s="91" t="e">
        <f t="shared" ca="1" si="16"/>
        <v>#DIV/0!</v>
      </c>
      <c r="AH76" s="91" t="e">
        <f t="shared" ca="1" si="16"/>
        <v>#DIV/0!</v>
      </c>
      <c r="AI76" s="91" t="e">
        <f t="shared" ca="1" si="17"/>
        <v>#DIV/0!</v>
      </c>
      <c r="AJ76" s="91" t="e">
        <f t="shared" ca="1" si="17"/>
        <v>#DIV/0!</v>
      </c>
    </row>
    <row r="77" spans="1:36" x14ac:dyDescent="0.25">
      <c r="A77" s="97" t="str">
        <f t="shared" si="2"/>
        <v>De 60659 € à 62500 €</v>
      </c>
      <c r="B77" s="98" t="e">
        <f t="shared" ca="1" si="8"/>
        <v>#DIV/0!</v>
      </c>
      <c r="C77" s="98" t="e">
        <f t="shared" ca="1" si="3"/>
        <v>#DIV/0!</v>
      </c>
      <c r="D77" s="145" t="e">
        <f t="shared" ca="1" si="9"/>
        <v>#DIV/0!</v>
      </c>
      <c r="E77" s="97" t="str">
        <f t="shared" si="4"/>
        <v>De 60659 € à 62500 €</v>
      </c>
      <c r="F77" s="133" t="e">
        <f t="shared" ca="1" si="10"/>
        <v>#DIV/0!</v>
      </c>
      <c r="G77" s="98" t="e">
        <f t="shared" ca="1" si="5"/>
        <v>#DIV/0!</v>
      </c>
      <c r="H77" s="143" t="e">
        <f t="shared" ca="1" si="11"/>
        <v>#DIV/0!</v>
      </c>
      <c r="I77" s="97" t="str">
        <f t="shared" si="6"/>
        <v>De 60659 € à 62500 €</v>
      </c>
      <c r="J77" s="133" t="e">
        <f t="shared" ca="1" si="12"/>
        <v>#DIV/0!</v>
      </c>
      <c r="K77" s="108" t="e">
        <f t="shared" ca="1" si="13"/>
        <v>#DIV/0!</v>
      </c>
      <c r="L77" s="143" t="e">
        <f t="shared" ca="1" si="14"/>
        <v>#DIV/0!</v>
      </c>
      <c r="W77" s="99">
        <f t="shared" si="18"/>
        <v>60659</v>
      </c>
      <c r="X77" s="99">
        <v>62500</v>
      </c>
      <c r="Y77" s="92">
        <v>203.62</v>
      </c>
      <c r="Z77" s="92">
        <v>203.62</v>
      </c>
      <c r="AA77" s="92">
        <v>339.42</v>
      </c>
      <c r="AC77" s="99">
        <f t="shared" si="7"/>
        <v>5131.625</v>
      </c>
      <c r="AE77" s="91" t="e">
        <f t="shared" ca="1" si="20"/>
        <v>#DIV/0!</v>
      </c>
      <c r="AF77" s="91" t="e">
        <f t="shared" ca="1" si="20"/>
        <v>#DIV/0!</v>
      </c>
      <c r="AG77" s="91" t="e">
        <f t="shared" ca="1" si="16"/>
        <v>#DIV/0!</v>
      </c>
      <c r="AH77" s="91" t="e">
        <f t="shared" ca="1" si="16"/>
        <v>#DIV/0!</v>
      </c>
      <c r="AI77" s="91" t="e">
        <f t="shared" ca="1" si="17"/>
        <v>#DIV/0!</v>
      </c>
      <c r="AJ77" s="91" t="e">
        <f t="shared" ca="1" si="17"/>
        <v>#DIV/0!</v>
      </c>
    </row>
    <row r="78" spans="1:36" x14ac:dyDescent="0.25">
      <c r="A78" s="97" t="str">
        <f t="shared" si="2"/>
        <v>De 62500 € à 65000 €</v>
      </c>
      <c r="B78" s="98" t="e">
        <f t="shared" ca="1" si="8"/>
        <v>#DIV/0!</v>
      </c>
      <c r="C78" s="98" t="e">
        <f t="shared" ca="1" si="3"/>
        <v>#DIV/0!</v>
      </c>
      <c r="D78" s="145" t="e">
        <f t="shared" ca="1" si="9"/>
        <v>#DIV/0!</v>
      </c>
      <c r="E78" s="97" t="str">
        <f t="shared" si="4"/>
        <v>De 62500 € à 65000 €</v>
      </c>
      <c r="F78" s="133" t="e">
        <f t="shared" ca="1" si="10"/>
        <v>#DIV/0!</v>
      </c>
      <c r="G78" s="98" t="e">
        <f t="shared" ca="1" si="5"/>
        <v>#DIV/0!</v>
      </c>
      <c r="H78" s="143" t="e">
        <f t="shared" ca="1" si="11"/>
        <v>#DIV/0!</v>
      </c>
      <c r="I78" s="97" t="str">
        <f t="shared" si="6"/>
        <v>De 62500 € à 65000 €</v>
      </c>
      <c r="J78" s="133" t="e">
        <f t="shared" ca="1" si="12"/>
        <v>#DIV/0!</v>
      </c>
      <c r="K78" s="108" t="e">
        <f t="shared" ca="1" si="13"/>
        <v>#DIV/0!</v>
      </c>
      <c r="L78" s="143" t="e">
        <f t="shared" ca="1" si="14"/>
        <v>#DIV/0!</v>
      </c>
      <c r="W78" s="99">
        <f t="shared" si="18"/>
        <v>62500</v>
      </c>
      <c r="X78" s="99">
        <f t="shared" si="19"/>
        <v>65000</v>
      </c>
      <c r="Y78" s="92">
        <v>203.62</v>
      </c>
      <c r="Z78" s="92">
        <v>203.62</v>
      </c>
      <c r="AA78" s="92">
        <v>339.42</v>
      </c>
      <c r="AC78" s="99">
        <f t="shared" si="7"/>
        <v>5312.5</v>
      </c>
      <c r="AE78" s="91" t="e">
        <f t="shared" ca="1" si="20"/>
        <v>#DIV/0!</v>
      </c>
      <c r="AF78" s="91" t="e">
        <f t="shared" ca="1" si="20"/>
        <v>#DIV/0!</v>
      </c>
      <c r="AG78" s="91" t="e">
        <f t="shared" ca="1" si="16"/>
        <v>#DIV/0!</v>
      </c>
      <c r="AH78" s="91" t="e">
        <f t="shared" ca="1" si="16"/>
        <v>#DIV/0!</v>
      </c>
      <c r="AI78" s="91" t="e">
        <f t="shared" ca="1" si="17"/>
        <v>#DIV/0!</v>
      </c>
      <c r="AJ78" s="91" t="e">
        <f t="shared" ca="1" si="17"/>
        <v>#DIV/0!</v>
      </c>
    </row>
    <row r="79" spans="1:36" x14ac:dyDescent="0.25">
      <c r="A79" s="97" t="str">
        <f t="shared" si="2"/>
        <v>De 65000 € à 67500 €</v>
      </c>
      <c r="B79" s="98" t="e">
        <f t="shared" ca="1" si="8"/>
        <v>#DIV/0!</v>
      </c>
      <c r="C79" s="98" t="e">
        <f t="shared" ca="1" si="3"/>
        <v>#DIV/0!</v>
      </c>
      <c r="D79" s="145" t="e">
        <f t="shared" ca="1" si="9"/>
        <v>#DIV/0!</v>
      </c>
      <c r="E79" s="97" t="str">
        <f t="shared" si="4"/>
        <v>De 65000 € à 67500 €</v>
      </c>
      <c r="F79" s="133" t="e">
        <f t="shared" ca="1" si="10"/>
        <v>#DIV/0!</v>
      </c>
      <c r="G79" s="98" t="e">
        <f t="shared" ca="1" si="5"/>
        <v>#DIV/0!</v>
      </c>
      <c r="H79" s="143" t="e">
        <f t="shared" ca="1" si="11"/>
        <v>#DIV/0!</v>
      </c>
      <c r="I79" s="97" t="str">
        <f t="shared" si="6"/>
        <v>De 65000 € à 67500 €</v>
      </c>
      <c r="J79" s="133" t="e">
        <f t="shared" ca="1" si="12"/>
        <v>#DIV/0!</v>
      </c>
      <c r="K79" s="108" t="e">
        <f t="shared" ca="1" si="13"/>
        <v>#DIV/0!</v>
      </c>
      <c r="L79" s="143" t="e">
        <f t="shared" ca="1" si="14"/>
        <v>#DIV/0!</v>
      </c>
      <c r="W79" s="99">
        <f t="shared" si="18"/>
        <v>65000</v>
      </c>
      <c r="X79" s="99">
        <f t="shared" si="19"/>
        <v>67500</v>
      </c>
      <c r="Y79" s="92">
        <v>203.62</v>
      </c>
      <c r="Z79" s="92">
        <v>203.62</v>
      </c>
      <c r="AA79" s="92">
        <v>339.42</v>
      </c>
      <c r="AC79" s="99">
        <f t="shared" si="7"/>
        <v>5520.833333333333</v>
      </c>
      <c r="AE79" s="91" t="e">
        <f t="shared" ca="1" si="20"/>
        <v>#DIV/0!</v>
      </c>
      <c r="AF79" s="91" t="e">
        <f t="shared" ca="1" si="20"/>
        <v>#DIV/0!</v>
      </c>
      <c r="AG79" s="91" t="e">
        <f t="shared" ca="1" si="16"/>
        <v>#DIV/0!</v>
      </c>
      <c r="AH79" s="91" t="e">
        <f t="shared" ca="1" si="16"/>
        <v>#DIV/0!</v>
      </c>
      <c r="AI79" s="91" t="e">
        <f t="shared" ca="1" si="17"/>
        <v>#DIV/0!</v>
      </c>
      <c r="AJ79" s="91" t="e">
        <f t="shared" ca="1" si="17"/>
        <v>#DIV/0!</v>
      </c>
    </row>
    <row r="80" spans="1:36" x14ac:dyDescent="0.25">
      <c r="A80" s="97" t="str">
        <f t="shared" si="2"/>
        <v>De 67500 € à 68199 €</v>
      </c>
      <c r="B80" s="98" t="e">
        <f t="shared" ca="1" si="8"/>
        <v>#DIV/0!</v>
      </c>
      <c r="C80" s="98" t="e">
        <f t="shared" ca="1" si="3"/>
        <v>#DIV/0!</v>
      </c>
      <c r="D80" s="145" t="e">
        <f t="shared" ca="1" si="9"/>
        <v>#DIV/0!</v>
      </c>
      <c r="E80" s="97" t="str">
        <f t="shared" si="4"/>
        <v>De 67500 € à 68199 €</v>
      </c>
      <c r="F80" s="133" t="e">
        <f t="shared" ca="1" si="10"/>
        <v>#DIV/0!</v>
      </c>
      <c r="G80" s="98" t="e">
        <f t="shared" ca="1" si="5"/>
        <v>#DIV/0!</v>
      </c>
      <c r="H80" s="143" t="e">
        <f t="shared" ca="1" si="11"/>
        <v>#DIV/0!</v>
      </c>
      <c r="I80" s="97" t="str">
        <f t="shared" si="6"/>
        <v>De 67500 € à 68199 €</v>
      </c>
      <c r="J80" s="133" t="e">
        <f t="shared" ca="1" si="12"/>
        <v>#DIV/0!</v>
      </c>
      <c r="K80" s="108" t="e">
        <f t="shared" ca="1" si="13"/>
        <v>#DIV/0!</v>
      </c>
      <c r="L80" s="143" t="e">
        <f t="shared" ca="1" si="14"/>
        <v>#DIV/0!</v>
      </c>
      <c r="W80" s="99">
        <f t="shared" si="18"/>
        <v>67500</v>
      </c>
      <c r="X80" s="99">
        <v>68199</v>
      </c>
      <c r="Y80" s="92">
        <v>203.62</v>
      </c>
      <c r="Z80" s="92">
        <v>203.62</v>
      </c>
      <c r="AA80" s="92">
        <v>339.42</v>
      </c>
      <c r="AC80" s="99">
        <f t="shared" si="7"/>
        <v>5654.125</v>
      </c>
      <c r="AE80" s="91" t="e">
        <f t="shared" ca="1" si="20"/>
        <v>#DIV/0!</v>
      </c>
      <c r="AF80" s="91" t="e">
        <f t="shared" ca="1" si="20"/>
        <v>#DIV/0!</v>
      </c>
      <c r="AG80" s="91" t="e">
        <f t="shared" ca="1" si="16"/>
        <v>#DIV/0!</v>
      </c>
      <c r="AH80" s="91" t="e">
        <f t="shared" ca="1" si="16"/>
        <v>#DIV/0!</v>
      </c>
      <c r="AI80" s="91" t="e">
        <f t="shared" ca="1" si="17"/>
        <v>#DIV/0!</v>
      </c>
      <c r="AJ80" s="91" t="e">
        <f t="shared" ca="1" si="17"/>
        <v>#DIV/0!</v>
      </c>
    </row>
    <row r="81" spans="1:36" x14ac:dyDescent="0.25">
      <c r="A81" s="97" t="str">
        <f t="shared" si="2"/>
        <v>De 68199 € à 70000 €</v>
      </c>
      <c r="B81" s="98" t="e">
        <f t="shared" ca="1" si="8"/>
        <v>#DIV/0!</v>
      </c>
      <c r="C81" s="98" t="e">
        <f t="shared" ca="1" si="3"/>
        <v>#DIV/0!</v>
      </c>
      <c r="D81" s="145" t="e">
        <f t="shared" ca="1" si="9"/>
        <v>#DIV/0!</v>
      </c>
      <c r="E81" s="97" t="str">
        <f t="shared" si="4"/>
        <v>De 68199 € à 70000 €</v>
      </c>
      <c r="F81" s="133" t="e">
        <f t="shared" ca="1" si="10"/>
        <v>#DIV/0!</v>
      </c>
      <c r="G81" s="98" t="e">
        <f t="shared" ca="1" si="5"/>
        <v>#DIV/0!</v>
      </c>
      <c r="H81" s="143" t="e">
        <f t="shared" ca="1" si="11"/>
        <v>#DIV/0!</v>
      </c>
      <c r="I81" s="97" t="str">
        <f t="shared" si="6"/>
        <v>De 68199 € à 70000 €</v>
      </c>
      <c r="J81" s="133" t="e">
        <f t="shared" ca="1" si="12"/>
        <v>#DIV/0!</v>
      </c>
      <c r="K81" s="108" t="e">
        <f t="shared" ca="1" si="13"/>
        <v>#DIV/0!</v>
      </c>
      <c r="L81" s="143" t="e">
        <f t="shared" ca="1" si="14"/>
        <v>#DIV/0!</v>
      </c>
      <c r="W81" s="99">
        <f t="shared" si="18"/>
        <v>68199</v>
      </c>
      <c r="X81" s="99">
        <v>70000</v>
      </c>
      <c r="Y81" s="92">
        <v>203.62</v>
      </c>
      <c r="Z81" s="92">
        <v>203.62</v>
      </c>
      <c r="AA81" s="92">
        <v>203.62</v>
      </c>
      <c r="AC81" s="99">
        <f t="shared" si="7"/>
        <v>5758.291666666667</v>
      </c>
      <c r="AE81" s="91" t="e">
        <f t="shared" ca="1" si="20"/>
        <v>#DIV/0!</v>
      </c>
      <c r="AF81" s="91" t="e">
        <f t="shared" ca="1" si="20"/>
        <v>#DIV/0!</v>
      </c>
      <c r="AG81" s="91" t="e">
        <f t="shared" ca="1" si="16"/>
        <v>#DIV/0!</v>
      </c>
      <c r="AH81" s="91" t="e">
        <f t="shared" ca="1" si="16"/>
        <v>#DIV/0!</v>
      </c>
      <c r="AI81" s="91" t="e">
        <f t="shared" ca="1" si="17"/>
        <v>#DIV/0!</v>
      </c>
      <c r="AJ81" s="91" t="e">
        <f t="shared" ca="1" si="17"/>
        <v>#DIV/0!</v>
      </c>
    </row>
    <row r="82" spans="1:36" x14ac:dyDescent="0.25">
      <c r="A82" s="97" t="str">
        <f t="shared" si="2"/>
        <v>De 70000 € à 72500 €</v>
      </c>
      <c r="B82" s="98" t="e">
        <f t="shared" ca="1" si="8"/>
        <v>#DIV/0!</v>
      </c>
      <c r="C82" s="98" t="e">
        <f t="shared" ca="1" si="3"/>
        <v>#DIV/0!</v>
      </c>
      <c r="D82" s="145" t="e">
        <f t="shared" ca="1" si="9"/>
        <v>#DIV/0!</v>
      </c>
      <c r="E82" s="97" t="str">
        <f t="shared" si="4"/>
        <v>De 70000 € à 72500 €</v>
      </c>
      <c r="F82" s="133" t="e">
        <f t="shared" ca="1" si="10"/>
        <v>#DIV/0!</v>
      </c>
      <c r="G82" s="98" t="e">
        <f t="shared" ca="1" si="5"/>
        <v>#DIV/0!</v>
      </c>
      <c r="H82" s="143" t="e">
        <f t="shared" ca="1" si="11"/>
        <v>#DIV/0!</v>
      </c>
      <c r="I82" s="97" t="str">
        <f t="shared" si="6"/>
        <v>De 70000 € à 72500 €</v>
      </c>
      <c r="J82" s="133" t="e">
        <f t="shared" ca="1" si="12"/>
        <v>#DIV/0!</v>
      </c>
      <c r="K82" s="108" t="e">
        <f t="shared" ca="1" si="13"/>
        <v>#DIV/0!</v>
      </c>
      <c r="L82" s="143" t="e">
        <f t="shared" ca="1" si="14"/>
        <v>#DIV/0!</v>
      </c>
      <c r="W82" s="99">
        <f t="shared" si="18"/>
        <v>70000</v>
      </c>
      <c r="X82" s="99">
        <f t="shared" si="19"/>
        <v>72500</v>
      </c>
      <c r="Y82" s="92">
        <v>203.62</v>
      </c>
      <c r="Z82" s="92">
        <v>203.62</v>
      </c>
      <c r="AA82" s="92">
        <v>203.62</v>
      </c>
      <c r="AC82" s="99">
        <f t="shared" si="7"/>
        <v>5937.5</v>
      </c>
      <c r="AE82" s="91" t="e">
        <f t="shared" ca="1" si="20"/>
        <v>#DIV/0!</v>
      </c>
      <c r="AF82" s="91" t="e">
        <f t="shared" ca="1" si="20"/>
        <v>#DIV/0!</v>
      </c>
      <c r="AG82" s="91" t="e">
        <f t="shared" ca="1" si="16"/>
        <v>#DIV/0!</v>
      </c>
      <c r="AH82" s="91" t="e">
        <f t="shared" ca="1" si="16"/>
        <v>#DIV/0!</v>
      </c>
      <c r="AI82" s="91" t="e">
        <f t="shared" ca="1" si="17"/>
        <v>#DIV/0!</v>
      </c>
      <c r="AJ82" s="91" t="e">
        <f t="shared" ca="1" si="17"/>
        <v>#DIV/0!</v>
      </c>
    </row>
    <row r="83" spans="1:36" x14ac:dyDescent="0.25">
      <c r="A83" s="97" t="str">
        <f t="shared" si="2"/>
        <v>De 72500 € à 75000 €</v>
      </c>
      <c r="B83" s="98" t="e">
        <f t="shared" ca="1" si="8"/>
        <v>#DIV/0!</v>
      </c>
      <c r="C83" s="98" t="e">
        <f t="shared" ca="1" si="3"/>
        <v>#DIV/0!</v>
      </c>
      <c r="D83" s="145" t="e">
        <f t="shared" ca="1" si="9"/>
        <v>#DIV/0!</v>
      </c>
      <c r="E83" s="97" t="str">
        <f t="shared" si="4"/>
        <v>De 72500 € à 75000 €</v>
      </c>
      <c r="F83" s="133" t="e">
        <f t="shared" ca="1" si="10"/>
        <v>#DIV/0!</v>
      </c>
      <c r="G83" s="98" t="e">
        <f t="shared" ca="1" si="5"/>
        <v>#DIV/0!</v>
      </c>
      <c r="H83" s="143" t="e">
        <f t="shared" ca="1" si="11"/>
        <v>#DIV/0!</v>
      </c>
      <c r="I83" s="97" t="str">
        <f t="shared" si="6"/>
        <v>De 72500 € à 75000 €</v>
      </c>
      <c r="J83" s="133" t="e">
        <f t="shared" ca="1" si="12"/>
        <v>#DIV/0!</v>
      </c>
      <c r="K83" s="108" t="e">
        <f t="shared" ca="1" si="13"/>
        <v>#DIV/0!</v>
      </c>
      <c r="L83" s="143" t="e">
        <f t="shared" ca="1" si="14"/>
        <v>#DIV/0!</v>
      </c>
      <c r="W83" s="99">
        <f t="shared" si="18"/>
        <v>72500</v>
      </c>
      <c r="X83" s="99">
        <f t="shared" si="19"/>
        <v>75000</v>
      </c>
      <c r="Y83" s="92">
        <v>203.62</v>
      </c>
      <c r="Z83" s="92">
        <v>203.62</v>
      </c>
      <c r="AA83" s="92">
        <v>203.62</v>
      </c>
      <c r="AC83" s="99">
        <f t="shared" si="7"/>
        <v>6145.833333333333</v>
      </c>
      <c r="AE83" s="91" t="e">
        <f t="shared" ca="1" si="20"/>
        <v>#DIV/0!</v>
      </c>
      <c r="AF83" s="91" t="e">
        <f t="shared" ca="1" si="20"/>
        <v>#DIV/0!</v>
      </c>
      <c r="AG83" s="91" t="e">
        <f t="shared" ca="1" si="16"/>
        <v>#DIV/0!</v>
      </c>
      <c r="AH83" s="91" t="e">
        <f t="shared" ca="1" si="16"/>
        <v>#DIV/0!</v>
      </c>
      <c r="AI83" s="91" t="e">
        <f t="shared" ca="1" si="17"/>
        <v>#DIV/0!</v>
      </c>
      <c r="AJ83" s="91" t="e">
        <f t="shared" ca="1" si="17"/>
        <v>#DIV/0!</v>
      </c>
    </row>
    <row r="84" spans="1:36" x14ac:dyDescent="0.25">
      <c r="A84" s="97" t="str">
        <f t="shared" si="2"/>
        <v>De 75000 € à 77500 €</v>
      </c>
      <c r="B84" s="98" t="e">
        <f t="shared" ca="1" si="8"/>
        <v>#DIV/0!</v>
      </c>
      <c r="C84" s="98" t="e">
        <f t="shared" ca="1" si="3"/>
        <v>#DIV/0!</v>
      </c>
      <c r="D84" s="145" t="e">
        <f t="shared" ca="1" si="9"/>
        <v>#DIV/0!</v>
      </c>
      <c r="E84" s="97" t="str">
        <f t="shared" si="4"/>
        <v>De 75000 € à 77500 €</v>
      </c>
      <c r="F84" s="133" t="e">
        <f t="shared" ca="1" si="10"/>
        <v>#DIV/0!</v>
      </c>
      <c r="G84" s="98" t="e">
        <f t="shared" ca="1" si="5"/>
        <v>#DIV/0!</v>
      </c>
      <c r="H84" s="143" t="e">
        <f t="shared" ca="1" si="11"/>
        <v>#DIV/0!</v>
      </c>
      <c r="I84" s="97" t="str">
        <f t="shared" si="6"/>
        <v>De 75000 € à 77500 €</v>
      </c>
      <c r="J84" s="133" t="e">
        <f t="shared" ca="1" si="12"/>
        <v>#DIV/0!</v>
      </c>
      <c r="K84" s="108" t="e">
        <f t="shared" ca="1" si="13"/>
        <v>#DIV/0!</v>
      </c>
      <c r="L84" s="143" t="e">
        <f t="shared" ca="1" si="14"/>
        <v>#DIV/0!</v>
      </c>
      <c r="W84" s="99">
        <f t="shared" si="18"/>
        <v>75000</v>
      </c>
      <c r="X84" s="99">
        <f t="shared" si="19"/>
        <v>77500</v>
      </c>
      <c r="Y84" s="92">
        <v>203.62</v>
      </c>
      <c r="Z84" s="92">
        <v>203.62</v>
      </c>
      <c r="AA84" s="92">
        <v>203.62</v>
      </c>
      <c r="AC84" s="99">
        <f t="shared" si="7"/>
        <v>6354.166666666667</v>
      </c>
      <c r="AE84" s="91" t="e">
        <f t="shared" ca="1" si="20"/>
        <v>#DIV/0!</v>
      </c>
      <c r="AF84" s="91" t="e">
        <f t="shared" ca="1" si="20"/>
        <v>#DIV/0!</v>
      </c>
      <c r="AG84" s="91" t="e">
        <f t="shared" ca="1" si="16"/>
        <v>#DIV/0!</v>
      </c>
      <c r="AH84" s="91" t="e">
        <f t="shared" ca="1" si="16"/>
        <v>#DIV/0!</v>
      </c>
      <c r="AI84" s="91" t="e">
        <f t="shared" ca="1" si="17"/>
        <v>#DIV/0!</v>
      </c>
      <c r="AJ84" s="91" t="e">
        <f t="shared" ca="1" si="17"/>
        <v>#DIV/0!</v>
      </c>
    </row>
    <row r="85" spans="1:36" x14ac:dyDescent="0.25">
      <c r="A85" s="97" t="str">
        <f t="shared" si="2"/>
        <v>De 77500 € à 80000 €</v>
      </c>
      <c r="B85" s="98" t="e">
        <f t="shared" ca="1" si="8"/>
        <v>#DIV/0!</v>
      </c>
      <c r="C85" s="98" t="e">
        <f t="shared" ca="1" si="3"/>
        <v>#DIV/0!</v>
      </c>
      <c r="D85" s="145" t="e">
        <f t="shared" ca="1" si="9"/>
        <v>#DIV/0!</v>
      </c>
      <c r="E85" s="97" t="str">
        <f t="shared" si="4"/>
        <v>De 77500 € à 80000 €</v>
      </c>
      <c r="F85" s="133" t="e">
        <f t="shared" ca="1" si="10"/>
        <v>#DIV/0!</v>
      </c>
      <c r="G85" s="98" t="e">
        <f t="shared" ca="1" si="5"/>
        <v>#DIV/0!</v>
      </c>
      <c r="H85" s="143" t="e">
        <f t="shared" ca="1" si="11"/>
        <v>#DIV/0!</v>
      </c>
      <c r="I85" s="97" t="str">
        <f t="shared" si="6"/>
        <v>De 77500 € à 80000 €</v>
      </c>
      <c r="J85" s="133" t="e">
        <f t="shared" ca="1" si="12"/>
        <v>#DIV/0!</v>
      </c>
      <c r="K85" s="108" t="e">
        <f t="shared" ca="1" si="13"/>
        <v>#DIV/0!</v>
      </c>
      <c r="L85" s="143" t="e">
        <f t="shared" ca="1" si="14"/>
        <v>#DIV/0!</v>
      </c>
      <c r="W85" s="99">
        <f t="shared" si="18"/>
        <v>77500</v>
      </c>
      <c r="X85" s="99">
        <f t="shared" si="19"/>
        <v>80000</v>
      </c>
      <c r="Y85" s="92">
        <v>203.62</v>
      </c>
      <c r="Z85" s="92">
        <v>203.62</v>
      </c>
      <c r="AA85" s="92">
        <v>203.62</v>
      </c>
      <c r="AC85" s="99">
        <f t="shared" si="7"/>
        <v>6562.5</v>
      </c>
      <c r="AE85" s="91" t="e">
        <f t="shared" ca="1" si="20"/>
        <v>#DIV/0!</v>
      </c>
      <c r="AF85" s="91" t="e">
        <f t="shared" ca="1" si="20"/>
        <v>#DIV/0!</v>
      </c>
      <c r="AG85" s="91" t="e">
        <f t="shared" ca="1" si="16"/>
        <v>#DIV/0!</v>
      </c>
      <c r="AH85" s="91" t="e">
        <f t="shared" ca="1" si="16"/>
        <v>#DIV/0!</v>
      </c>
      <c r="AI85" s="91" t="e">
        <f t="shared" ca="1" si="17"/>
        <v>#DIV/0!</v>
      </c>
      <c r="AJ85" s="91" t="e">
        <f t="shared" ca="1" si="17"/>
        <v>#DIV/0!</v>
      </c>
    </row>
    <row r="86" spans="1:36" x14ac:dyDescent="0.25">
      <c r="A86" s="97" t="str">
        <f t="shared" si="2"/>
        <v>De 80000 € à 82500 €</v>
      </c>
      <c r="B86" s="98" t="e">
        <f t="shared" ca="1" si="8"/>
        <v>#DIV/0!</v>
      </c>
      <c r="C86" s="98" t="e">
        <f t="shared" ca="1" si="3"/>
        <v>#DIV/0!</v>
      </c>
      <c r="D86" s="145" t="e">
        <f t="shared" ca="1" si="9"/>
        <v>#DIV/0!</v>
      </c>
      <c r="E86" s="97" t="str">
        <f t="shared" si="4"/>
        <v>De 80000 € à 82500 €</v>
      </c>
      <c r="F86" s="133" t="e">
        <f t="shared" ca="1" si="10"/>
        <v>#DIV/0!</v>
      </c>
      <c r="G86" s="98" t="e">
        <f t="shared" ca="1" si="5"/>
        <v>#DIV/0!</v>
      </c>
      <c r="H86" s="143" t="e">
        <f t="shared" ca="1" si="11"/>
        <v>#DIV/0!</v>
      </c>
      <c r="I86" s="97" t="str">
        <f t="shared" si="6"/>
        <v>De 80000 € à 82500 €</v>
      </c>
      <c r="J86" s="133" t="e">
        <f t="shared" ca="1" si="12"/>
        <v>#DIV/0!</v>
      </c>
      <c r="K86" s="108" t="e">
        <f t="shared" ca="1" si="13"/>
        <v>#DIV/0!</v>
      </c>
      <c r="L86" s="143" t="e">
        <f t="shared" ca="1" si="14"/>
        <v>#DIV/0!</v>
      </c>
      <c r="W86" s="99">
        <f t="shared" si="18"/>
        <v>80000</v>
      </c>
      <c r="X86" s="99">
        <f t="shared" si="19"/>
        <v>82500</v>
      </c>
      <c r="Y86" s="92">
        <v>203.62</v>
      </c>
      <c r="Z86" s="92">
        <v>203.62</v>
      </c>
      <c r="AA86" s="92">
        <v>203.62</v>
      </c>
      <c r="AC86" s="99">
        <f t="shared" si="7"/>
        <v>6770.833333333333</v>
      </c>
      <c r="AE86" s="91" t="e">
        <f t="shared" ca="1" si="20"/>
        <v>#DIV/0!</v>
      </c>
      <c r="AF86" s="91" t="e">
        <f t="shared" ca="1" si="20"/>
        <v>#DIV/0!</v>
      </c>
      <c r="AG86" s="91" t="e">
        <f t="shared" ca="1" si="16"/>
        <v>#DIV/0!</v>
      </c>
      <c r="AH86" s="91" t="e">
        <f t="shared" ca="1" si="16"/>
        <v>#DIV/0!</v>
      </c>
      <c r="AI86" s="91" t="e">
        <f t="shared" ca="1" si="17"/>
        <v>#DIV/0!</v>
      </c>
      <c r="AJ86" s="91" t="e">
        <f t="shared" ca="1" si="17"/>
        <v>#DIV/0!</v>
      </c>
    </row>
    <row r="87" spans="1:36" x14ac:dyDescent="0.25">
      <c r="A87" s="97" t="str">
        <f t="shared" si="2"/>
        <v>De 82500 € à 85000 €</v>
      </c>
      <c r="B87" s="98" t="e">
        <f t="shared" ca="1" si="8"/>
        <v>#DIV/0!</v>
      </c>
      <c r="C87" s="98" t="e">
        <f t="shared" ca="1" si="3"/>
        <v>#DIV/0!</v>
      </c>
      <c r="D87" s="145" t="e">
        <f t="shared" ca="1" si="9"/>
        <v>#DIV/0!</v>
      </c>
      <c r="E87" s="97" t="str">
        <f t="shared" si="4"/>
        <v>De 82500 € à 85000 €</v>
      </c>
      <c r="F87" s="133" t="e">
        <f t="shared" ca="1" si="10"/>
        <v>#DIV/0!</v>
      </c>
      <c r="G87" s="98" t="e">
        <f t="shared" ca="1" si="5"/>
        <v>#DIV/0!</v>
      </c>
      <c r="H87" s="143" t="e">
        <f t="shared" ca="1" si="11"/>
        <v>#DIV/0!</v>
      </c>
      <c r="I87" s="97" t="str">
        <f t="shared" si="6"/>
        <v>De 82500 € à 85000 €</v>
      </c>
      <c r="J87" s="133" t="e">
        <f t="shared" ca="1" si="12"/>
        <v>#DIV/0!</v>
      </c>
      <c r="K87" s="108" t="e">
        <f t="shared" ca="1" si="13"/>
        <v>#DIV/0!</v>
      </c>
      <c r="L87" s="143" t="e">
        <f t="shared" ca="1" si="14"/>
        <v>#DIV/0!</v>
      </c>
      <c r="W87" s="99">
        <f t="shared" si="18"/>
        <v>82500</v>
      </c>
      <c r="X87" s="99">
        <f t="shared" si="19"/>
        <v>85000</v>
      </c>
      <c r="Y87" s="92">
        <v>203.62</v>
      </c>
      <c r="Z87" s="92">
        <v>203.62</v>
      </c>
      <c r="AA87" s="92">
        <v>203.62</v>
      </c>
      <c r="AC87" s="99">
        <f t="shared" si="7"/>
        <v>6979.166666666667</v>
      </c>
      <c r="AE87" s="91" t="e">
        <f t="shared" ca="1" si="20"/>
        <v>#DIV/0!</v>
      </c>
      <c r="AF87" s="91" t="e">
        <f t="shared" ca="1" si="20"/>
        <v>#DIV/0!</v>
      </c>
      <c r="AG87" s="91" t="e">
        <f t="shared" ca="1" si="16"/>
        <v>#DIV/0!</v>
      </c>
      <c r="AH87" s="91" t="e">
        <f t="shared" ca="1" si="16"/>
        <v>#DIV/0!</v>
      </c>
      <c r="AI87" s="91" t="e">
        <f t="shared" ca="1" si="17"/>
        <v>#DIV/0!</v>
      </c>
      <c r="AJ87" s="91" t="e">
        <f t="shared" ca="1" si="17"/>
        <v>#DIV/0!</v>
      </c>
    </row>
    <row r="88" spans="1:36" x14ac:dyDescent="0.25">
      <c r="A88" s="97" t="str">
        <f t="shared" si="2"/>
        <v>De 85000 € à 87500 €</v>
      </c>
      <c r="B88" s="98" t="e">
        <f t="shared" ca="1" si="8"/>
        <v>#DIV/0!</v>
      </c>
      <c r="C88" s="98" t="e">
        <f t="shared" ca="1" si="3"/>
        <v>#DIV/0!</v>
      </c>
      <c r="D88" s="145" t="e">
        <f t="shared" ca="1" si="9"/>
        <v>#DIV/0!</v>
      </c>
      <c r="E88" s="97" t="str">
        <f t="shared" si="4"/>
        <v>De 85000 € à 87500 €</v>
      </c>
      <c r="F88" s="133" t="e">
        <f t="shared" ca="1" si="10"/>
        <v>#DIV/0!</v>
      </c>
      <c r="G88" s="98" t="e">
        <f t="shared" ca="1" si="5"/>
        <v>#DIV/0!</v>
      </c>
      <c r="H88" s="143" t="e">
        <f t="shared" ca="1" si="11"/>
        <v>#DIV/0!</v>
      </c>
      <c r="I88" s="97" t="str">
        <f t="shared" si="6"/>
        <v>De 85000 € à 87500 €</v>
      </c>
      <c r="J88" s="133" t="e">
        <f t="shared" ca="1" si="12"/>
        <v>#DIV/0!</v>
      </c>
      <c r="K88" s="108" t="e">
        <f t="shared" ca="1" si="13"/>
        <v>#DIV/0!</v>
      </c>
      <c r="L88" s="143" t="e">
        <f t="shared" ca="1" si="14"/>
        <v>#DIV/0!</v>
      </c>
      <c r="W88" s="99">
        <f t="shared" si="18"/>
        <v>85000</v>
      </c>
      <c r="X88" s="99">
        <f t="shared" si="19"/>
        <v>87500</v>
      </c>
      <c r="Y88" s="92">
        <v>203.62</v>
      </c>
      <c r="Z88" s="92">
        <v>203.62</v>
      </c>
      <c r="AA88" s="92">
        <v>203.62</v>
      </c>
      <c r="AC88" s="99">
        <f t="shared" si="7"/>
        <v>7187.5</v>
      </c>
      <c r="AE88" s="91" t="e">
        <f t="shared" ca="1" si="20"/>
        <v>#DIV/0!</v>
      </c>
      <c r="AF88" s="91" t="e">
        <f t="shared" ca="1" si="20"/>
        <v>#DIV/0!</v>
      </c>
      <c r="AG88" s="91" t="e">
        <f t="shared" ca="1" si="16"/>
        <v>#DIV/0!</v>
      </c>
      <c r="AH88" s="91" t="e">
        <f t="shared" ca="1" si="16"/>
        <v>#DIV/0!</v>
      </c>
      <c r="AI88" s="91" t="e">
        <f t="shared" ca="1" si="17"/>
        <v>#DIV/0!</v>
      </c>
      <c r="AJ88" s="91" t="e">
        <f t="shared" ca="1" si="17"/>
        <v>#DIV/0!</v>
      </c>
    </row>
    <row r="89" spans="1:36" x14ac:dyDescent="0.25">
      <c r="A89" s="97" t="str">
        <f t="shared" si="2"/>
        <v>De 87500 € à 90000 €</v>
      </c>
      <c r="B89" s="98" t="e">
        <f t="shared" ca="1" si="8"/>
        <v>#DIV/0!</v>
      </c>
      <c r="C89" s="98" t="e">
        <f t="shared" ca="1" si="3"/>
        <v>#DIV/0!</v>
      </c>
      <c r="D89" s="145" t="e">
        <f t="shared" ca="1" si="9"/>
        <v>#DIV/0!</v>
      </c>
      <c r="E89" s="97" t="str">
        <f t="shared" si="4"/>
        <v>De 87500 € à 90000 €</v>
      </c>
      <c r="F89" s="133" t="e">
        <f t="shared" ca="1" si="10"/>
        <v>#DIV/0!</v>
      </c>
      <c r="G89" s="98" t="e">
        <f t="shared" ca="1" si="5"/>
        <v>#DIV/0!</v>
      </c>
      <c r="H89" s="143" t="e">
        <f t="shared" ca="1" si="11"/>
        <v>#DIV/0!</v>
      </c>
      <c r="I89" s="97" t="str">
        <f t="shared" si="6"/>
        <v>De 87500 € à 90000 €</v>
      </c>
      <c r="J89" s="133" t="e">
        <f t="shared" ca="1" si="12"/>
        <v>#DIV/0!</v>
      </c>
      <c r="K89" s="108" t="e">
        <f t="shared" ca="1" si="13"/>
        <v>#DIV/0!</v>
      </c>
      <c r="L89" s="143" t="e">
        <f t="shared" ca="1" si="14"/>
        <v>#DIV/0!</v>
      </c>
      <c r="W89" s="99">
        <f t="shared" si="18"/>
        <v>87500</v>
      </c>
      <c r="X89" s="99">
        <f t="shared" si="19"/>
        <v>90000</v>
      </c>
      <c r="Y89" s="92">
        <v>203.62</v>
      </c>
      <c r="Z89" s="92">
        <v>203.62</v>
      </c>
      <c r="AA89" s="92">
        <v>203.62</v>
      </c>
      <c r="AC89" s="99">
        <f t="shared" si="7"/>
        <v>7395.833333333333</v>
      </c>
      <c r="AE89" s="91" t="e">
        <f t="shared" ca="1" si="20"/>
        <v>#DIV/0!</v>
      </c>
      <c r="AF89" s="91" t="e">
        <f t="shared" ca="1" si="20"/>
        <v>#DIV/0!</v>
      </c>
      <c r="AG89" s="91" t="e">
        <f t="shared" ca="1" si="16"/>
        <v>#DIV/0!</v>
      </c>
      <c r="AH89" s="91" t="e">
        <f t="shared" ca="1" si="16"/>
        <v>#DIV/0!</v>
      </c>
      <c r="AI89" s="91" t="e">
        <f t="shared" ca="1" si="17"/>
        <v>#DIV/0!</v>
      </c>
      <c r="AJ89" s="91" t="e">
        <f t="shared" ca="1" si="17"/>
        <v>#DIV/0!</v>
      </c>
    </row>
    <row r="90" spans="1:36" x14ac:dyDescent="0.25">
      <c r="A90" s="97" t="str">
        <f t="shared" si="2"/>
        <v>De 90000 € à 92500 €</v>
      </c>
      <c r="B90" s="98" t="e">
        <f t="shared" ca="1" si="8"/>
        <v>#DIV/0!</v>
      </c>
      <c r="C90" s="98" t="e">
        <f t="shared" ca="1" si="3"/>
        <v>#DIV/0!</v>
      </c>
      <c r="D90" s="145" t="e">
        <f t="shared" ca="1" si="9"/>
        <v>#DIV/0!</v>
      </c>
      <c r="E90" s="97" t="str">
        <f t="shared" si="4"/>
        <v>De 90000 € à 92500 €</v>
      </c>
      <c r="F90" s="133" t="e">
        <f t="shared" ca="1" si="10"/>
        <v>#DIV/0!</v>
      </c>
      <c r="G90" s="98" t="e">
        <f t="shared" ca="1" si="5"/>
        <v>#DIV/0!</v>
      </c>
      <c r="H90" s="143" t="e">
        <f t="shared" ca="1" si="11"/>
        <v>#DIV/0!</v>
      </c>
      <c r="I90" s="97" t="str">
        <f t="shared" si="6"/>
        <v>De 90000 € à 92500 €</v>
      </c>
      <c r="J90" s="133" t="e">
        <f t="shared" ca="1" si="12"/>
        <v>#DIV/0!</v>
      </c>
      <c r="K90" s="108" t="e">
        <f t="shared" ca="1" si="13"/>
        <v>#DIV/0!</v>
      </c>
      <c r="L90" s="143" t="e">
        <f t="shared" ca="1" si="14"/>
        <v>#DIV/0!</v>
      </c>
      <c r="W90" s="99">
        <f t="shared" si="18"/>
        <v>90000</v>
      </c>
      <c r="X90" s="99">
        <f t="shared" si="19"/>
        <v>92500</v>
      </c>
      <c r="Y90" s="92">
        <v>203.62</v>
      </c>
      <c r="Z90" s="92">
        <v>203.62</v>
      </c>
      <c r="AA90" s="92">
        <v>203.62</v>
      </c>
      <c r="AC90" s="99">
        <f t="shared" si="7"/>
        <v>7604.166666666667</v>
      </c>
      <c r="AE90" s="91" t="e">
        <f t="shared" ca="1" si="20"/>
        <v>#DIV/0!</v>
      </c>
      <c r="AF90" s="91" t="e">
        <f t="shared" ca="1" si="20"/>
        <v>#DIV/0!</v>
      </c>
      <c r="AG90" s="91" t="e">
        <f t="shared" ca="1" si="16"/>
        <v>#DIV/0!</v>
      </c>
      <c r="AH90" s="91" t="e">
        <f t="shared" ca="1" si="16"/>
        <v>#DIV/0!</v>
      </c>
      <c r="AI90" s="91" t="e">
        <f t="shared" ca="1" si="17"/>
        <v>#DIV/0!</v>
      </c>
      <c r="AJ90" s="91" t="e">
        <f t="shared" ca="1" si="17"/>
        <v>#DIV/0!</v>
      </c>
    </row>
    <row r="91" spans="1:36" x14ac:dyDescent="0.25">
      <c r="A91" s="97" t="str">
        <f t="shared" si="2"/>
        <v>De 92500 € à 95000 €</v>
      </c>
      <c r="B91" s="98" t="e">
        <f t="shared" ca="1" si="8"/>
        <v>#DIV/0!</v>
      </c>
      <c r="C91" s="98" t="e">
        <f t="shared" ca="1" si="3"/>
        <v>#DIV/0!</v>
      </c>
      <c r="D91" s="145" t="e">
        <f t="shared" ca="1" si="9"/>
        <v>#DIV/0!</v>
      </c>
      <c r="E91" s="97" t="str">
        <f t="shared" si="4"/>
        <v>De 92500 € à 95000 €</v>
      </c>
      <c r="F91" s="133" t="e">
        <f t="shared" ca="1" si="10"/>
        <v>#DIV/0!</v>
      </c>
      <c r="G91" s="98" t="e">
        <f t="shared" ca="1" si="5"/>
        <v>#DIV/0!</v>
      </c>
      <c r="H91" s="143" t="e">
        <f t="shared" ca="1" si="11"/>
        <v>#DIV/0!</v>
      </c>
      <c r="I91" s="97" t="str">
        <f t="shared" si="6"/>
        <v>De 92500 € à 95000 €</v>
      </c>
      <c r="J91" s="133" t="e">
        <f t="shared" ca="1" si="12"/>
        <v>#DIV/0!</v>
      </c>
      <c r="K91" s="108" t="e">
        <f t="shared" ca="1" si="13"/>
        <v>#DIV/0!</v>
      </c>
      <c r="L91" s="143" t="e">
        <f t="shared" ca="1" si="14"/>
        <v>#DIV/0!</v>
      </c>
      <c r="W91" s="99">
        <f t="shared" si="18"/>
        <v>92500</v>
      </c>
      <c r="X91" s="99">
        <f t="shared" si="19"/>
        <v>95000</v>
      </c>
      <c r="Y91" s="92">
        <v>203.62</v>
      </c>
      <c r="Z91" s="92">
        <v>203.62</v>
      </c>
      <c r="AA91" s="92">
        <v>203.62</v>
      </c>
      <c r="AC91" s="99">
        <f t="shared" si="7"/>
        <v>7812.5</v>
      </c>
      <c r="AE91" s="91" t="e">
        <f t="shared" ca="1" si="20"/>
        <v>#DIV/0!</v>
      </c>
      <c r="AF91" s="91" t="e">
        <f t="shared" ca="1" si="20"/>
        <v>#DIV/0!</v>
      </c>
      <c r="AG91" s="91" t="e">
        <f t="shared" ca="1" si="16"/>
        <v>#DIV/0!</v>
      </c>
      <c r="AH91" s="91" t="e">
        <f t="shared" ca="1" si="16"/>
        <v>#DIV/0!</v>
      </c>
      <c r="AI91" s="91" t="e">
        <f t="shared" ca="1" si="17"/>
        <v>#DIV/0!</v>
      </c>
      <c r="AJ91" s="91" t="e">
        <f t="shared" ca="1" si="17"/>
        <v>#DIV/0!</v>
      </c>
    </row>
    <row r="92" spans="1:36" x14ac:dyDescent="0.25">
      <c r="A92" s="97" t="str">
        <f t="shared" si="2"/>
        <v>De 95000 € à 97500 €</v>
      </c>
      <c r="B92" s="98" t="e">
        <f t="shared" ca="1" si="8"/>
        <v>#DIV/0!</v>
      </c>
      <c r="C92" s="98" t="e">
        <f t="shared" ca="1" si="3"/>
        <v>#DIV/0!</v>
      </c>
      <c r="D92" s="145" t="e">
        <f t="shared" ca="1" si="9"/>
        <v>#DIV/0!</v>
      </c>
      <c r="E92" s="97" t="str">
        <f t="shared" si="4"/>
        <v>De 95000 € à 97500 €</v>
      </c>
      <c r="F92" s="133" t="e">
        <f t="shared" ca="1" si="10"/>
        <v>#DIV/0!</v>
      </c>
      <c r="G92" s="98" t="e">
        <f t="shared" ca="1" si="5"/>
        <v>#DIV/0!</v>
      </c>
      <c r="H92" s="143" t="e">
        <f t="shared" ca="1" si="11"/>
        <v>#DIV/0!</v>
      </c>
      <c r="I92" s="97" t="str">
        <f t="shared" si="6"/>
        <v>De 95000 € à 97500 €</v>
      </c>
      <c r="J92" s="133" t="e">
        <f t="shared" ca="1" si="12"/>
        <v>#DIV/0!</v>
      </c>
      <c r="K92" s="108" t="e">
        <f t="shared" ca="1" si="13"/>
        <v>#DIV/0!</v>
      </c>
      <c r="L92" s="143" t="e">
        <f t="shared" ca="1" si="14"/>
        <v>#DIV/0!</v>
      </c>
      <c r="W92" s="99">
        <f t="shared" si="18"/>
        <v>95000</v>
      </c>
      <c r="X92" s="99">
        <f t="shared" si="19"/>
        <v>97500</v>
      </c>
      <c r="Y92" s="92">
        <v>203.62</v>
      </c>
      <c r="Z92" s="92">
        <v>203.62</v>
      </c>
      <c r="AA92" s="92">
        <v>203.62</v>
      </c>
      <c r="AC92" s="99">
        <f t="shared" si="7"/>
        <v>8020.833333333333</v>
      </c>
      <c r="AE92" s="91" t="e">
        <f t="shared" ca="1" si="20"/>
        <v>#DIV/0!</v>
      </c>
      <c r="AF92" s="91" t="e">
        <f t="shared" ca="1" si="20"/>
        <v>#DIV/0!</v>
      </c>
      <c r="AG92" s="91" t="e">
        <f t="shared" ca="1" si="16"/>
        <v>#DIV/0!</v>
      </c>
      <c r="AH92" s="91" t="e">
        <f t="shared" ca="1" si="16"/>
        <v>#DIV/0!</v>
      </c>
      <c r="AI92" s="91" t="e">
        <f t="shared" ca="1" si="17"/>
        <v>#DIV/0!</v>
      </c>
      <c r="AJ92" s="91" t="e">
        <f t="shared" ca="1" si="17"/>
        <v>#DIV/0!</v>
      </c>
    </row>
    <row r="93" spans="1:36" x14ac:dyDescent="0.25">
      <c r="A93" s="97" t="str">
        <f t="shared" si="2"/>
        <v>De 97500 € à 100000 €</v>
      </c>
      <c r="B93" s="98" t="e">
        <f t="shared" ca="1" si="8"/>
        <v>#DIV/0!</v>
      </c>
      <c r="C93" s="98" t="e">
        <f t="shared" ca="1" si="3"/>
        <v>#DIV/0!</v>
      </c>
      <c r="D93" s="145" t="e">
        <f t="shared" ca="1" si="9"/>
        <v>#DIV/0!</v>
      </c>
      <c r="E93" s="97" t="str">
        <f t="shared" si="4"/>
        <v>De 97500 € à 100000 €</v>
      </c>
      <c r="F93" s="133" t="e">
        <f t="shared" ca="1" si="10"/>
        <v>#DIV/0!</v>
      </c>
      <c r="G93" s="98" t="e">
        <f t="shared" ca="1" si="5"/>
        <v>#DIV/0!</v>
      </c>
      <c r="H93" s="143" t="e">
        <f t="shared" ca="1" si="11"/>
        <v>#DIV/0!</v>
      </c>
      <c r="I93" s="97" t="str">
        <f t="shared" si="6"/>
        <v>De 97500 € à 100000 €</v>
      </c>
      <c r="J93" s="133" t="e">
        <f t="shared" ca="1" si="12"/>
        <v>#DIV/0!</v>
      </c>
      <c r="K93" s="108" t="e">
        <f t="shared" ca="1" si="13"/>
        <v>#DIV/0!</v>
      </c>
      <c r="L93" s="143" t="e">
        <f t="shared" ca="1" si="14"/>
        <v>#DIV/0!</v>
      </c>
      <c r="W93" s="99">
        <f t="shared" si="18"/>
        <v>97500</v>
      </c>
      <c r="X93" s="99">
        <f t="shared" si="19"/>
        <v>100000</v>
      </c>
      <c r="Y93" s="92">
        <v>203.62</v>
      </c>
      <c r="Z93" s="92">
        <v>203.62</v>
      </c>
      <c r="AA93" s="92">
        <v>203.62</v>
      </c>
      <c r="AC93" s="99">
        <f t="shared" si="7"/>
        <v>8229.1666666666661</v>
      </c>
      <c r="AE93" s="91" t="e">
        <f t="shared" ca="1" si="20"/>
        <v>#DIV/0!</v>
      </c>
      <c r="AF93" s="91" t="e">
        <f t="shared" ca="1" si="20"/>
        <v>#DIV/0!</v>
      </c>
      <c r="AG93" s="91" t="e">
        <f t="shared" ca="1" si="16"/>
        <v>#DIV/0!</v>
      </c>
      <c r="AH93" s="91" t="e">
        <f t="shared" ca="1" si="16"/>
        <v>#DIV/0!</v>
      </c>
      <c r="AI93" s="91" t="e">
        <f t="shared" ca="1" si="17"/>
        <v>#DIV/0!</v>
      </c>
      <c r="AJ93" s="91" t="e">
        <f t="shared" ca="1" si="17"/>
        <v>#DIV/0!</v>
      </c>
    </row>
    <row r="94" spans="1:36" x14ac:dyDescent="0.25">
      <c r="A94" s="97" t="str">
        <f t="shared" si="2"/>
        <v>De 100000 € à 102500 €</v>
      </c>
      <c r="B94" s="98" t="e">
        <f t="shared" ca="1" si="8"/>
        <v>#DIV/0!</v>
      </c>
      <c r="C94" s="98" t="e">
        <f t="shared" ca="1" si="3"/>
        <v>#DIV/0!</v>
      </c>
      <c r="D94" s="145" t="e">
        <f t="shared" ca="1" si="9"/>
        <v>#DIV/0!</v>
      </c>
      <c r="E94" s="97" t="str">
        <f t="shared" si="4"/>
        <v>De 100000 € à 102500 €</v>
      </c>
      <c r="F94" s="133" t="e">
        <f t="shared" ca="1" si="10"/>
        <v>#DIV/0!</v>
      </c>
      <c r="G94" s="98" t="e">
        <f t="shared" ca="1" si="5"/>
        <v>#DIV/0!</v>
      </c>
      <c r="H94" s="143" t="e">
        <f t="shared" ca="1" si="11"/>
        <v>#DIV/0!</v>
      </c>
      <c r="I94" s="97" t="str">
        <f t="shared" si="6"/>
        <v>De 100000 € à 102500 €</v>
      </c>
      <c r="J94" s="133" t="e">
        <f t="shared" ca="1" si="12"/>
        <v>#DIV/0!</v>
      </c>
      <c r="K94" s="108" t="e">
        <f t="shared" ca="1" si="13"/>
        <v>#DIV/0!</v>
      </c>
      <c r="L94" s="143" t="e">
        <f t="shared" ca="1" si="14"/>
        <v>#DIV/0!</v>
      </c>
      <c r="W94" s="99">
        <f t="shared" si="18"/>
        <v>100000</v>
      </c>
      <c r="X94" s="99">
        <f t="shared" si="19"/>
        <v>102500</v>
      </c>
      <c r="Y94" s="92">
        <v>203.62</v>
      </c>
      <c r="Z94" s="92">
        <v>203.62</v>
      </c>
      <c r="AA94" s="92">
        <v>203.62</v>
      </c>
      <c r="AC94" s="99">
        <f t="shared" si="7"/>
        <v>8437.5</v>
      </c>
      <c r="AE94" s="91" t="e">
        <f t="shared" ca="1" si="20"/>
        <v>#DIV/0!</v>
      </c>
      <c r="AF94" s="91" t="e">
        <f t="shared" ca="1" si="20"/>
        <v>#DIV/0!</v>
      </c>
      <c r="AG94" s="91" t="e">
        <f t="shared" ca="1" si="16"/>
        <v>#DIV/0!</v>
      </c>
      <c r="AH94" s="91" t="e">
        <f t="shared" ca="1" si="16"/>
        <v>#DIV/0!</v>
      </c>
      <c r="AI94" s="91" t="e">
        <f t="shared" ca="1" si="17"/>
        <v>#DIV/0!</v>
      </c>
      <c r="AJ94" s="91" t="e">
        <f t="shared" ca="1" si="17"/>
        <v>#DIV/0!</v>
      </c>
    </row>
    <row r="95" spans="1:36" x14ac:dyDescent="0.25">
      <c r="A95" s="97" t="str">
        <f t="shared" si="2"/>
        <v>De 102500 € à 105000 €</v>
      </c>
      <c r="B95" s="98" t="e">
        <f t="shared" ca="1" si="8"/>
        <v>#DIV/0!</v>
      </c>
      <c r="C95" s="98" t="e">
        <f t="shared" ca="1" si="3"/>
        <v>#DIV/0!</v>
      </c>
      <c r="D95" s="145" t="e">
        <f t="shared" ca="1" si="9"/>
        <v>#DIV/0!</v>
      </c>
      <c r="E95" s="97" t="str">
        <f t="shared" ref="E95" si="21">+A95</f>
        <v>De 102500 € à 105000 €</v>
      </c>
      <c r="F95" s="133" t="e">
        <f t="shared" ca="1" si="10"/>
        <v>#DIV/0!</v>
      </c>
      <c r="G95" s="98" t="e">
        <f t="shared" ca="1" si="5"/>
        <v>#DIV/0!</v>
      </c>
      <c r="H95" s="143" t="e">
        <f t="shared" ca="1" si="11"/>
        <v>#DIV/0!</v>
      </c>
      <c r="I95" s="97" t="str">
        <f t="shared" ref="I95" si="22">+A95</f>
        <v>De 102500 € à 105000 €</v>
      </c>
      <c r="J95" s="133" t="e">
        <f t="shared" ca="1" si="12"/>
        <v>#DIV/0!</v>
      </c>
      <c r="K95" s="108" t="e">
        <f t="shared" ca="1" si="13"/>
        <v>#DIV/0!</v>
      </c>
      <c r="L95" s="143" t="e">
        <f t="shared" ca="1" si="14"/>
        <v>#DIV/0!</v>
      </c>
      <c r="W95" s="99">
        <f t="shared" si="18"/>
        <v>102500</v>
      </c>
      <c r="X95" s="99">
        <f t="shared" si="19"/>
        <v>105000</v>
      </c>
      <c r="Y95" s="92">
        <v>203.62</v>
      </c>
      <c r="Z95" s="92">
        <v>203.62</v>
      </c>
      <c r="AA95" s="92">
        <v>203.62</v>
      </c>
      <c r="AC95" s="99">
        <f t="shared" si="7"/>
        <v>8500</v>
      </c>
      <c r="AE95" s="91" t="e">
        <f t="shared" ca="1" si="20"/>
        <v>#DIV/0!</v>
      </c>
      <c r="AF95" s="91" t="e">
        <f t="shared" ca="1" si="20"/>
        <v>#DIV/0!</v>
      </c>
      <c r="AG95" s="91" t="e">
        <f t="shared" ca="1" si="16"/>
        <v>#DIV/0!</v>
      </c>
      <c r="AH95" s="91" t="e">
        <f t="shared" ca="1" si="16"/>
        <v>#DIV/0!</v>
      </c>
      <c r="AI95" s="91" t="e">
        <f t="shared" ca="1" si="17"/>
        <v>#DIV/0!</v>
      </c>
      <c r="AJ95" s="91" t="e">
        <f t="shared" ca="1" si="17"/>
        <v>#DIV/0!</v>
      </c>
    </row>
    <row r="96" spans="1:36" ht="15.75" thickBot="1" x14ac:dyDescent="0.3">
      <c r="A96" s="100" t="str">
        <f t="shared" si="2"/>
        <v>De 105000 € à 107500 €</v>
      </c>
      <c r="B96" s="101" t="e">
        <f t="shared" ca="1" si="8"/>
        <v>#DIV/0!</v>
      </c>
      <c r="C96" s="101" t="e">
        <f t="shared" ca="1" si="3"/>
        <v>#DIV/0!</v>
      </c>
      <c r="D96" s="146" t="e">
        <f t="shared" ca="1" si="9"/>
        <v>#DIV/0!</v>
      </c>
      <c r="E96" s="100" t="str">
        <f>+A96</f>
        <v>De 105000 € à 107500 €</v>
      </c>
      <c r="F96" s="134" t="e">
        <f t="shared" ca="1" si="10"/>
        <v>#DIV/0!</v>
      </c>
      <c r="G96" s="101" t="e">
        <f t="shared" ca="1" si="5"/>
        <v>#DIV/0!</v>
      </c>
      <c r="H96" s="144" t="e">
        <f t="shared" ca="1" si="11"/>
        <v>#DIV/0!</v>
      </c>
      <c r="I96" s="100" t="str">
        <f>+A96</f>
        <v>De 105000 € à 107500 €</v>
      </c>
      <c r="J96" s="134" t="e">
        <f t="shared" ca="1" si="12"/>
        <v>#DIV/0!</v>
      </c>
      <c r="K96" s="109" t="e">
        <f t="shared" ca="1" si="13"/>
        <v>#DIV/0!</v>
      </c>
      <c r="L96" s="144" t="e">
        <f t="shared" ca="1" si="14"/>
        <v>#DIV/0!</v>
      </c>
      <c r="W96" s="99">
        <f t="shared" si="18"/>
        <v>105000</v>
      </c>
      <c r="X96" s="99">
        <f t="shared" si="19"/>
        <v>107500</v>
      </c>
      <c r="Y96" s="92">
        <v>203.62</v>
      </c>
      <c r="Z96" s="92">
        <v>203.62</v>
      </c>
      <c r="AA96" s="92">
        <v>203.62</v>
      </c>
      <c r="AC96" s="99">
        <f t="shared" si="7"/>
        <v>8500</v>
      </c>
      <c r="AE96" s="91" t="e">
        <f t="shared" ca="1" si="20"/>
        <v>#DIV/0!</v>
      </c>
      <c r="AF96" s="91" t="e">
        <f t="shared" ca="1" si="20"/>
        <v>#DIV/0!</v>
      </c>
      <c r="AG96" s="91" t="e">
        <f t="shared" ca="1" si="16"/>
        <v>#DIV/0!</v>
      </c>
      <c r="AH96" s="91" t="e">
        <f t="shared" ca="1" si="16"/>
        <v>#DIV/0!</v>
      </c>
      <c r="AI96" s="91" t="e">
        <f t="shared" ca="1" si="17"/>
        <v>#DIV/0!</v>
      </c>
      <c r="AJ96" s="91" t="e">
        <f t="shared" ca="1" si="17"/>
        <v>#DIV/0!</v>
      </c>
    </row>
  </sheetData>
  <sheetProtection algorithmName="SHA-512" hashValue="RAoNyfj/VV53hMMxct6IRXmxC1saAdjI2rBf3PIDxojKhHgE1rfaTD/OhVDVlIom43esFFwtsQQvb3VwpD0wCQ==" saltValue="CRP3TgAWA8Yh7JmjdyZAAg==" spinCount="100000" sheet="1" objects="1" scenarios="1" formatCells="0" formatColumns="0" formatRows="0" insertColumns="0" insertRows="0" insertHyperlinks="0" sort="0" autoFilter="0" pivotTables="0"/>
  <mergeCells count="12">
    <mergeCell ref="AA27:AC27"/>
    <mergeCell ref="AB51:AD51"/>
    <mergeCell ref="F46:L46"/>
    <mergeCell ref="A35:D35"/>
    <mergeCell ref="A51:D51"/>
    <mergeCell ref="E51:H51"/>
    <mergeCell ref="I51:L51"/>
    <mergeCell ref="B2:J2"/>
    <mergeCell ref="B4:J4"/>
    <mergeCell ref="A6:L6"/>
    <mergeCell ref="F18:K18"/>
    <mergeCell ref="A49:K49"/>
  </mergeCells>
  <dataValidations count="1">
    <dataValidation type="list" allowBlank="1" showInputMessage="1" showErrorMessage="1" sqref="E39 K25" xr:uid="{94A8DCC1-AF20-4386-9FC8-3262736DED56}">
      <formula1>"NON,OUI"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3" orientation="landscape" r:id="rId1"/>
  <rowBreaks count="1" manualBreakCount="1">
    <brk id="4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DB5C6-B3C4-4008-933D-99098860AC6A}">
  <sheetPr>
    <tabColor theme="2" tint="-0.499984740745262"/>
  </sheetPr>
  <dimension ref="A1:S6"/>
  <sheetViews>
    <sheetView workbookViewId="0">
      <selection activeCell="B4" sqref="B4"/>
    </sheetView>
  </sheetViews>
  <sheetFormatPr baseColWidth="10" defaultRowHeight="15" x14ac:dyDescent="0.25"/>
  <cols>
    <col min="1" max="20" width="14.42578125" customWidth="1"/>
  </cols>
  <sheetData>
    <row r="1" spans="1:19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</row>
    <row r="2" spans="1:19" ht="117.75" customHeight="1" x14ac:dyDescent="0.25">
      <c r="A2" s="34" t="s">
        <v>87</v>
      </c>
      <c r="B2" s="34" t="s">
        <v>88</v>
      </c>
      <c r="C2" s="34" t="s">
        <v>89</v>
      </c>
      <c r="D2" s="34" t="s">
        <v>90</v>
      </c>
      <c r="E2" s="34" t="s">
        <v>91</v>
      </c>
      <c r="F2" s="34" t="s">
        <v>92</v>
      </c>
      <c r="G2" s="34" t="s">
        <v>93</v>
      </c>
      <c r="H2" s="34" t="s">
        <v>94</v>
      </c>
      <c r="I2" s="34" t="s">
        <v>95</v>
      </c>
      <c r="J2" s="34" t="s">
        <v>96</v>
      </c>
      <c r="K2" s="34" t="s">
        <v>97</v>
      </c>
      <c r="L2" s="34" t="s">
        <v>98</v>
      </c>
      <c r="M2" s="34" t="s">
        <v>99</v>
      </c>
      <c r="N2" s="34" t="s">
        <v>100</v>
      </c>
      <c r="O2" s="34" t="s">
        <v>101</v>
      </c>
      <c r="P2" s="34" t="s">
        <v>102</v>
      </c>
      <c r="Q2" s="34" t="s">
        <v>103</v>
      </c>
      <c r="R2" s="34" t="s">
        <v>104</v>
      </c>
      <c r="S2" s="34" t="s">
        <v>82</v>
      </c>
    </row>
    <row r="3" spans="1:19" x14ac:dyDescent="0.25">
      <c r="A3" s="58">
        <v>46023</v>
      </c>
      <c r="B3">
        <v>0.88200000000000001</v>
      </c>
      <c r="C3">
        <v>0.76819999999999999</v>
      </c>
      <c r="D3">
        <v>23903</v>
      </c>
      <c r="E3">
        <v>53119</v>
      </c>
      <c r="F3">
        <v>27295</v>
      </c>
      <c r="G3">
        <v>60659</v>
      </c>
      <c r="H3">
        <v>30687</v>
      </c>
      <c r="I3">
        <v>68199</v>
      </c>
      <c r="J3">
        <v>3392</v>
      </c>
      <c r="K3">
        <v>7540</v>
      </c>
      <c r="L3" s="59">
        <v>0.4</v>
      </c>
      <c r="M3">
        <v>538.27</v>
      </c>
      <c r="N3">
        <v>339.42</v>
      </c>
      <c r="O3">
        <v>203.62</v>
      </c>
      <c r="P3">
        <v>269.14</v>
      </c>
      <c r="Q3">
        <v>169.73</v>
      </c>
      <c r="R3">
        <v>101.81</v>
      </c>
      <c r="S3" s="59">
        <v>0.3</v>
      </c>
    </row>
    <row r="4" spans="1:19" x14ac:dyDescent="0.25">
      <c r="A4" s="58"/>
      <c r="L4" s="59"/>
    </row>
    <row r="5" spans="1:19" x14ac:dyDescent="0.25">
      <c r="L5" s="59"/>
    </row>
    <row r="6" spans="1:19" x14ac:dyDescent="0.25">
      <c r="L6" s="59"/>
    </row>
  </sheetData>
  <sheetProtection algorithmName="SHA-512" hashValue="UD9IotsEc6ueh/lxoWdcR/tWtmJocBysfV0JQXIqhpjb1z5gSHMMIRBJLDHPTd92TYIsMDIYwJkrCKdbjCoYxA==" saltValue="IV/bE6rgYk8Pg1/Tp0kZwA==" spinCount="100000" sheet="1" objects="1" scenarios="1" formatCells="0" formatColumns="0" formatRows="0" insertColumns="0" insertRows="0" insertHyperlinks="0" sort="0" autoFilter="0" pivotTable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BD61"/>
  <sheetViews>
    <sheetView showGridLines="0" zoomScale="90" zoomScaleNormal="90" workbookViewId="0">
      <selection activeCell="B6" sqref="B6"/>
    </sheetView>
  </sheetViews>
  <sheetFormatPr baseColWidth="10" defaultRowHeight="15" x14ac:dyDescent="0.25"/>
  <cols>
    <col min="1" max="2" width="12.42578125" style="60" customWidth="1"/>
    <col min="3" max="3" width="15" style="60" customWidth="1"/>
    <col min="4" max="4" width="12.42578125" style="60" customWidth="1"/>
    <col min="5" max="5" width="14.5703125" style="60" customWidth="1"/>
    <col min="6" max="56" width="12.42578125" style="60" customWidth="1"/>
    <col min="57" max="16384" width="11.42578125" style="60"/>
  </cols>
  <sheetData>
    <row r="1" spans="1:56" ht="23.25" x14ac:dyDescent="0.35">
      <c r="A1" s="223" t="s">
        <v>33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3" spans="1:56" x14ac:dyDescent="0.25">
      <c r="C3" s="63" t="s">
        <v>34</v>
      </c>
      <c r="D3" s="224" t="s">
        <v>165</v>
      </c>
      <c r="E3" s="224"/>
      <c r="F3" s="224"/>
      <c r="I3" s="63"/>
      <c r="J3" s="184"/>
      <c r="M3" s="121" t="s">
        <v>146</v>
      </c>
    </row>
    <row r="5" spans="1:56" ht="18.75" x14ac:dyDescent="0.3">
      <c r="A5" s="153" t="s">
        <v>32</v>
      </c>
      <c r="C5" s="154" t="s">
        <v>105</v>
      </c>
      <c r="D5" s="67">
        <f ca="1">+IF(D6="",NOW(),D6)</f>
        <v>46043.616195601855</v>
      </c>
      <c r="E5" s="74"/>
      <c r="F5" s="74"/>
    </row>
    <row r="6" spans="1:56" ht="18.75" x14ac:dyDescent="0.3">
      <c r="A6" s="153"/>
      <c r="C6" s="63" t="s">
        <v>106</v>
      </c>
      <c r="D6" s="155"/>
      <c r="E6" s="74"/>
      <c r="F6" s="74"/>
    </row>
    <row r="8" spans="1:56" ht="18.75" x14ac:dyDescent="0.3">
      <c r="A8" s="220" t="s">
        <v>1</v>
      </c>
      <c r="B8" s="221"/>
      <c r="C8" s="221"/>
      <c r="D8" s="221"/>
      <c r="E8" s="221"/>
      <c r="F8" s="221"/>
      <c r="G8" s="222"/>
      <c r="H8" s="220" t="s">
        <v>16</v>
      </c>
      <c r="I8" s="221"/>
      <c r="J8" s="221"/>
      <c r="K8" s="221"/>
      <c r="L8" s="221"/>
      <c r="M8" s="221"/>
      <c r="N8" s="222"/>
      <c r="O8" s="220" t="s">
        <v>17</v>
      </c>
      <c r="P8" s="221"/>
      <c r="Q8" s="221"/>
      <c r="R8" s="221"/>
      <c r="S8" s="221"/>
      <c r="T8" s="221"/>
      <c r="U8" s="222"/>
      <c r="V8" s="220" t="s">
        <v>18</v>
      </c>
      <c r="W8" s="221"/>
      <c r="X8" s="221"/>
      <c r="Y8" s="221"/>
      <c r="Z8" s="221"/>
      <c r="AA8" s="221"/>
      <c r="AB8" s="222"/>
      <c r="AC8" s="220" t="s">
        <v>19</v>
      </c>
      <c r="AD8" s="221"/>
      <c r="AE8" s="221"/>
      <c r="AF8" s="221"/>
      <c r="AG8" s="221"/>
      <c r="AH8" s="221"/>
      <c r="AI8" s="222"/>
      <c r="AJ8" s="220" t="s">
        <v>20</v>
      </c>
      <c r="AK8" s="221"/>
      <c r="AL8" s="221"/>
      <c r="AM8" s="221"/>
      <c r="AN8" s="221"/>
      <c r="AO8" s="221"/>
      <c r="AP8" s="222"/>
      <c r="AQ8" s="220" t="s">
        <v>21</v>
      </c>
      <c r="AR8" s="221"/>
      <c r="AS8" s="221"/>
      <c r="AT8" s="221"/>
      <c r="AU8" s="221"/>
      <c r="AV8" s="221"/>
      <c r="AW8" s="222"/>
      <c r="AX8" s="220" t="s">
        <v>22</v>
      </c>
      <c r="AY8" s="221"/>
      <c r="AZ8" s="221"/>
      <c r="BA8" s="221"/>
      <c r="BB8" s="221"/>
      <c r="BC8" s="221"/>
      <c r="BD8" s="222"/>
    </row>
    <row r="9" spans="1:56" ht="45" x14ac:dyDescent="0.25">
      <c r="A9" s="156" t="s">
        <v>0</v>
      </c>
      <c r="B9" s="156" t="s">
        <v>66</v>
      </c>
      <c r="C9" s="156" t="s">
        <v>67</v>
      </c>
      <c r="D9" s="156" t="s">
        <v>68</v>
      </c>
      <c r="E9" s="156" t="s">
        <v>69</v>
      </c>
      <c r="F9" s="156" t="s">
        <v>2</v>
      </c>
      <c r="G9" s="156" t="s">
        <v>3</v>
      </c>
      <c r="H9" s="156" t="s">
        <v>0</v>
      </c>
      <c r="I9" s="156" t="s">
        <v>66</v>
      </c>
      <c r="J9" s="156" t="s">
        <v>67</v>
      </c>
      <c r="K9" s="156" t="s">
        <v>68</v>
      </c>
      <c r="L9" s="156" t="s">
        <v>69</v>
      </c>
      <c r="M9" s="156" t="s">
        <v>2</v>
      </c>
      <c r="N9" s="156" t="s">
        <v>3</v>
      </c>
      <c r="O9" s="156" t="s">
        <v>0</v>
      </c>
      <c r="P9" s="156" t="s">
        <v>66</v>
      </c>
      <c r="Q9" s="156" t="s">
        <v>67</v>
      </c>
      <c r="R9" s="156" t="s">
        <v>68</v>
      </c>
      <c r="S9" s="156" t="s">
        <v>69</v>
      </c>
      <c r="T9" s="156" t="s">
        <v>2</v>
      </c>
      <c r="U9" s="156" t="s">
        <v>3</v>
      </c>
      <c r="V9" s="156" t="s">
        <v>0</v>
      </c>
      <c r="W9" s="156" t="s">
        <v>66</v>
      </c>
      <c r="X9" s="156" t="s">
        <v>67</v>
      </c>
      <c r="Y9" s="156" t="s">
        <v>68</v>
      </c>
      <c r="Z9" s="156" t="s">
        <v>69</v>
      </c>
      <c r="AA9" s="156" t="s">
        <v>2</v>
      </c>
      <c r="AB9" s="156" t="s">
        <v>3</v>
      </c>
      <c r="AC9" s="156" t="s">
        <v>0</v>
      </c>
      <c r="AD9" s="156" t="s">
        <v>66</v>
      </c>
      <c r="AE9" s="156" t="s">
        <v>67</v>
      </c>
      <c r="AF9" s="156" t="s">
        <v>68</v>
      </c>
      <c r="AG9" s="156" t="s">
        <v>69</v>
      </c>
      <c r="AH9" s="156" t="s">
        <v>2</v>
      </c>
      <c r="AI9" s="156" t="s">
        <v>3</v>
      </c>
      <c r="AJ9" s="156" t="s">
        <v>0</v>
      </c>
      <c r="AK9" s="156" t="s">
        <v>66</v>
      </c>
      <c r="AL9" s="156" t="s">
        <v>67</v>
      </c>
      <c r="AM9" s="156" t="s">
        <v>68</v>
      </c>
      <c r="AN9" s="156" t="s">
        <v>69</v>
      </c>
      <c r="AO9" s="156" t="s">
        <v>2</v>
      </c>
      <c r="AP9" s="156" t="s">
        <v>3</v>
      </c>
      <c r="AQ9" s="156" t="s">
        <v>0</v>
      </c>
      <c r="AR9" s="156" t="s">
        <v>66</v>
      </c>
      <c r="AS9" s="156" t="s">
        <v>67</v>
      </c>
      <c r="AT9" s="156" t="s">
        <v>68</v>
      </c>
      <c r="AU9" s="156" t="s">
        <v>69</v>
      </c>
      <c r="AV9" s="156" t="s">
        <v>2</v>
      </c>
      <c r="AW9" s="156" t="s">
        <v>3</v>
      </c>
      <c r="AX9" s="156" t="s">
        <v>0</v>
      </c>
      <c r="AY9" s="156" t="s">
        <v>66</v>
      </c>
      <c r="AZ9" s="156" t="s">
        <v>67</v>
      </c>
      <c r="BA9" s="156" t="s">
        <v>68</v>
      </c>
      <c r="BB9" s="156" t="s">
        <v>69</v>
      </c>
      <c r="BC9" s="156" t="s">
        <v>2</v>
      </c>
      <c r="BD9" s="156" t="s">
        <v>3</v>
      </c>
    </row>
    <row r="10" spans="1:56" x14ac:dyDescent="0.25">
      <c r="A10" s="157" t="s">
        <v>4</v>
      </c>
      <c r="B10" s="158">
        <v>0.33333333333333331</v>
      </c>
      <c r="C10" s="158">
        <v>0.77083333333333337</v>
      </c>
      <c r="D10" s="158"/>
      <c r="E10" s="158"/>
      <c r="F10" s="159">
        <f>+C10-B10+E10-D10</f>
        <v>0.43750000000000006</v>
      </c>
      <c r="G10" s="160">
        <f>ROUND(+F10*24,2)</f>
        <v>10.5</v>
      </c>
      <c r="H10" s="157" t="s">
        <v>4</v>
      </c>
      <c r="I10" s="158">
        <v>0.33333333333333331</v>
      </c>
      <c r="J10" s="158">
        <v>0.66666666666666663</v>
      </c>
      <c r="K10" s="158"/>
      <c r="L10" s="158"/>
      <c r="M10" s="159">
        <f>+J10-I10+L10-K10</f>
        <v>0.33333333333333331</v>
      </c>
      <c r="N10" s="160">
        <f>ROUND(+M10*24,2)</f>
        <v>8</v>
      </c>
      <c r="O10" s="157" t="s">
        <v>4</v>
      </c>
      <c r="P10" s="158">
        <v>0.4375</v>
      </c>
      <c r="Q10" s="158">
        <v>0.69791666666666663</v>
      </c>
      <c r="R10" s="158"/>
      <c r="S10" s="158"/>
      <c r="T10" s="159">
        <f>+Q10-P10+S10-R10</f>
        <v>0.26041666666666663</v>
      </c>
      <c r="U10" s="160">
        <f>ROUND(+T10*24,2)</f>
        <v>6.25</v>
      </c>
      <c r="V10" s="157" t="s">
        <v>4</v>
      </c>
      <c r="W10" s="158"/>
      <c r="X10" s="158"/>
      <c r="Y10" s="158"/>
      <c r="Z10" s="158"/>
      <c r="AA10" s="159">
        <f>+X10-W10+Z10-Y10</f>
        <v>0</v>
      </c>
      <c r="AB10" s="160">
        <f>ROUND(+AA10*24,2)</f>
        <v>0</v>
      </c>
      <c r="AC10" s="157" t="s">
        <v>4</v>
      </c>
      <c r="AD10" s="158"/>
      <c r="AE10" s="158"/>
      <c r="AF10" s="158"/>
      <c r="AG10" s="158"/>
      <c r="AH10" s="159">
        <f>+AE10-AD10+AG10-AF10</f>
        <v>0</v>
      </c>
      <c r="AI10" s="160">
        <f>ROUND(+AH10*24,2)</f>
        <v>0</v>
      </c>
      <c r="AJ10" s="157" t="s">
        <v>4</v>
      </c>
      <c r="AK10" s="158"/>
      <c r="AL10" s="158"/>
      <c r="AM10" s="158"/>
      <c r="AN10" s="158"/>
      <c r="AO10" s="159">
        <f>+AL10-AK10+AN10-AM10</f>
        <v>0</v>
      </c>
      <c r="AP10" s="160">
        <f>ROUND(+AO10*24,2)</f>
        <v>0</v>
      </c>
      <c r="AQ10" s="157" t="s">
        <v>4</v>
      </c>
      <c r="AR10" s="158"/>
      <c r="AS10" s="158"/>
      <c r="AT10" s="158"/>
      <c r="AU10" s="158"/>
      <c r="AV10" s="159">
        <f>+AS10-AR10+AU10-AT10</f>
        <v>0</v>
      </c>
      <c r="AW10" s="160">
        <f>ROUND(+AV10*24,2)</f>
        <v>0</v>
      </c>
      <c r="AX10" s="157" t="s">
        <v>4</v>
      </c>
      <c r="AY10" s="158"/>
      <c r="AZ10" s="158"/>
      <c r="BA10" s="158"/>
      <c r="BB10" s="158"/>
      <c r="BC10" s="159">
        <f>+AZ10-AY10+BB10-BA10</f>
        <v>0</v>
      </c>
      <c r="BD10" s="160">
        <f>ROUND(+BC10*24,2)</f>
        <v>0</v>
      </c>
    </row>
    <row r="11" spans="1:56" x14ac:dyDescent="0.25">
      <c r="A11" s="157" t="s">
        <v>5</v>
      </c>
      <c r="B11" s="158">
        <v>0.33333333333333331</v>
      </c>
      <c r="C11" s="158">
        <v>0.77083333333333337</v>
      </c>
      <c r="D11" s="158"/>
      <c r="E11" s="158"/>
      <c r="F11" s="159">
        <f t="shared" ref="F11:F16" si="0">+C11-B11+E11-D11</f>
        <v>0.43750000000000006</v>
      </c>
      <c r="G11" s="160">
        <f t="shared" ref="G11:G16" si="1">ROUND(+F11*24,2)</f>
        <v>10.5</v>
      </c>
      <c r="H11" s="157" t="s">
        <v>5</v>
      </c>
      <c r="I11" s="158">
        <v>0.33333333333333331</v>
      </c>
      <c r="J11" s="158">
        <v>0.66666666666666663</v>
      </c>
      <c r="K11" s="158"/>
      <c r="L11" s="158"/>
      <c r="M11" s="159">
        <f t="shared" ref="M11:M16" si="2">+J11-I11+L11-K11</f>
        <v>0.33333333333333331</v>
      </c>
      <c r="N11" s="160">
        <f t="shared" ref="N11:N16" si="3">ROUND(+M11*24,2)</f>
        <v>8</v>
      </c>
      <c r="O11" s="157" t="s">
        <v>5</v>
      </c>
      <c r="P11" s="158"/>
      <c r="Q11" s="158"/>
      <c r="R11" s="158"/>
      <c r="S11" s="158"/>
      <c r="T11" s="159">
        <f t="shared" ref="T11:T16" si="4">+Q11-P11+S11-R11</f>
        <v>0</v>
      </c>
      <c r="U11" s="160">
        <f t="shared" ref="U11:U16" si="5">ROUND(+T11*24,2)</f>
        <v>0</v>
      </c>
      <c r="V11" s="157" t="s">
        <v>5</v>
      </c>
      <c r="W11" s="158"/>
      <c r="X11" s="158"/>
      <c r="Y11" s="158"/>
      <c r="Z11" s="158"/>
      <c r="AA11" s="159">
        <f t="shared" ref="AA11:AA16" si="6">+X11-W11+Z11-Y11</f>
        <v>0</v>
      </c>
      <c r="AB11" s="160">
        <f t="shared" ref="AB11:AB16" si="7">ROUND(+AA11*24,2)</f>
        <v>0</v>
      </c>
      <c r="AC11" s="157" t="s">
        <v>5</v>
      </c>
      <c r="AD11" s="158"/>
      <c r="AE11" s="158"/>
      <c r="AF11" s="158"/>
      <c r="AG11" s="158"/>
      <c r="AH11" s="159">
        <f t="shared" ref="AH11:AH16" si="8">+AE11-AD11+AG11-AF11</f>
        <v>0</v>
      </c>
      <c r="AI11" s="160">
        <f t="shared" ref="AI11:AI16" si="9">ROUND(+AH11*24,2)</f>
        <v>0</v>
      </c>
      <c r="AJ11" s="157" t="s">
        <v>5</v>
      </c>
      <c r="AK11" s="158"/>
      <c r="AL11" s="158"/>
      <c r="AM11" s="158"/>
      <c r="AN11" s="158"/>
      <c r="AO11" s="159">
        <f t="shared" ref="AO11:AO16" si="10">+AL11-AK11+AN11-AM11</f>
        <v>0</v>
      </c>
      <c r="AP11" s="160">
        <f t="shared" ref="AP11:AP16" si="11">ROUND(+AO11*24,2)</f>
        <v>0</v>
      </c>
      <c r="AQ11" s="157" t="s">
        <v>5</v>
      </c>
      <c r="AR11" s="158"/>
      <c r="AS11" s="158"/>
      <c r="AT11" s="158"/>
      <c r="AU11" s="158"/>
      <c r="AV11" s="159">
        <f t="shared" ref="AV11:AV16" si="12">+AS11-AR11+AU11-AT11</f>
        <v>0</v>
      </c>
      <c r="AW11" s="160">
        <f t="shared" ref="AW11:AW16" si="13">ROUND(+AV11*24,2)</f>
        <v>0</v>
      </c>
      <c r="AX11" s="157" t="s">
        <v>5</v>
      </c>
      <c r="AY11" s="158"/>
      <c r="AZ11" s="158"/>
      <c r="BA11" s="158"/>
      <c r="BB11" s="158"/>
      <c r="BC11" s="159">
        <f t="shared" ref="BC11:BC16" si="14">+AZ11-AY11+BB11-BA11</f>
        <v>0</v>
      </c>
      <c r="BD11" s="160">
        <f t="shared" ref="BD11:BD16" si="15">ROUND(+BC11*24,2)</f>
        <v>0</v>
      </c>
    </row>
    <row r="12" spans="1:56" x14ac:dyDescent="0.25">
      <c r="A12" s="157" t="s">
        <v>6</v>
      </c>
      <c r="B12" s="158">
        <v>0.33333333333333331</v>
      </c>
      <c r="C12" s="158">
        <v>0.77083333333333337</v>
      </c>
      <c r="D12" s="158"/>
      <c r="E12" s="158"/>
      <c r="F12" s="159">
        <f t="shared" si="0"/>
        <v>0.43750000000000006</v>
      </c>
      <c r="G12" s="160">
        <f t="shared" si="1"/>
        <v>10.5</v>
      </c>
      <c r="H12" s="157" t="s">
        <v>6</v>
      </c>
      <c r="I12" s="158">
        <v>0.33333333333333331</v>
      </c>
      <c r="J12" s="158">
        <v>0.66666666666666663</v>
      </c>
      <c r="K12" s="158"/>
      <c r="L12" s="158"/>
      <c r="M12" s="159">
        <f t="shared" si="2"/>
        <v>0.33333333333333331</v>
      </c>
      <c r="N12" s="160">
        <f t="shared" si="3"/>
        <v>8</v>
      </c>
      <c r="O12" s="157" t="s">
        <v>6</v>
      </c>
      <c r="P12" s="158">
        <v>0.4375</v>
      </c>
      <c r="Q12" s="158">
        <v>0.79166666666666663</v>
      </c>
      <c r="R12" s="158"/>
      <c r="S12" s="158"/>
      <c r="T12" s="159">
        <f t="shared" si="4"/>
        <v>0.35416666666666663</v>
      </c>
      <c r="U12" s="160">
        <f t="shared" si="5"/>
        <v>8.5</v>
      </c>
      <c r="V12" s="157" t="s">
        <v>6</v>
      </c>
      <c r="W12" s="158"/>
      <c r="X12" s="158"/>
      <c r="Y12" s="158"/>
      <c r="Z12" s="158"/>
      <c r="AA12" s="159">
        <f t="shared" si="6"/>
        <v>0</v>
      </c>
      <c r="AB12" s="160">
        <f t="shared" si="7"/>
        <v>0</v>
      </c>
      <c r="AC12" s="157" t="s">
        <v>6</v>
      </c>
      <c r="AD12" s="158"/>
      <c r="AE12" s="158"/>
      <c r="AF12" s="158"/>
      <c r="AG12" s="158"/>
      <c r="AH12" s="159">
        <f t="shared" si="8"/>
        <v>0</v>
      </c>
      <c r="AI12" s="160">
        <f t="shared" si="9"/>
        <v>0</v>
      </c>
      <c r="AJ12" s="157" t="s">
        <v>6</v>
      </c>
      <c r="AK12" s="158"/>
      <c r="AL12" s="158"/>
      <c r="AM12" s="158"/>
      <c r="AN12" s="158"/>
      <c r="AO12" s="159">
        <f t="shared" si="10"/>
        <v>0</v>
      </c>
      <c r="AP12" s="160">
        <f t="shared" si="11"/>
        <v>0</v>
      </c>
      <c r="AQ12" s="157" t="s">
        <v>6</v>
      </c>
      <c r="AR12" s="158"/>
      <c r="AS12" s="158"/>
      <c r="AT12" s="158"/>
      <c r="AU12" s="158"/>
      <c r="AV12" s="159">
        <f t="shared" si="12"/>
        <v>0</v>
      </c>
      <c r="AW12" s="160">
        <f t="shared" si="13"/>
        <v>0</v>
      </c>
      <c r="AX12" s="157" t="s">
        <v>6</v>
      </c>
      <c r="AY12" s="158"/>
      <c r="AZ12" s="158"/>
      <c r="BA12" s="158"/>
      <c r="BB12" s="158"/>
      <c r="BC12" s="159">
        <f t="shared" si="14"/>
        <v>0</v>
      </c>
      <c r="BD12" s="160">
        <f t="shared" si="15"/>
        <v>0</v>
      </c>
    </row>
    <row r="13" spans="1:56" x14ac:dyDescent="0.25">
      <c r="A13" s="157" t="s">
        <v>7</v>
      </c>
      <c r="B13" s="158">
        <v>0.33333333333333331</v>
      </c>
      <c r="C13" s="158">
        <v>0.77083333333333337</v>
      </c>
      <c r="D13" s="158"/>
      <c r="E13" s="158"/>
      <c r="F13" s="159">
        <f t="shared" si="0"/>
        <v>0.43750000000000006</v>
      </c>
      <c r="G13" s="160">
        <f t="shared" si="1"/>
        <v>10.5</v>
      </c>
      <c r="H13" s="157" t="s">
        <v>7</v>
      </c>
      <c r="I13" s="158">
        <v>0.33333333333333331</v>
      </c>
      <c r="J13" s="158">
        <v>0.66666666666666663</v>
      </c>
      <c r="K13" s="158"/>
      <c r="L13" s="158"/>
      <c r="M13" s="159">
        <f t="shared" si="2"/>
        <v>0.33333333333333331</v>
      </c>
      <c r="N13" s="160">
        <f t="shared" si="3"/>
        <v>8</v>
      </c>
      <c r="O13" s="157" t="s">
        <v>7</v>
      </c>
      <c r="P13" s="158"/>
      <c r="Q13" s="158"/>
      <c r="R13" s="158"/>
      <c r="S13" s="158"/>
      <c r="T13" s="159">
        <f t="shared" si="4"/>
        <v>0</v>
      </c>
      <c r="U13" s="160">
        <f t="shared" si="5"/>
        <v>0</v>
      </c>
      <c r="V13" s="157" t="s">
        <v>7</v>
      </c>
      <c r="W13" s="158"/>
      <c r="X13" s="158"/>
      <c r="Y13" s="158"/>
      <c r="Z13" s="158"/>
      <c r="AA13" s="159">
        <f t="shared" si="6"/>
        <v>0</v>
      </c>
      <c r="AB13" s="160">
        <f t="shared" si="7"/>
        <v>0</v>
      </c>
      <c r="AC13" s="157" t="s">
        <v>7</v>
      </c>
      <c r="AD13" s="158"/>
      <c r="AE13" s="158"/>
      <c r="AF13" s="158"/>
      <c r="AG13" s="158"/>
      <c r="AH13" s="159">
        <f t="shared" si="8"/>
        <v>0</v>
      </c>
      <c r="AI13" s="160">
        <f t="shared" si="9"/>
        <v>0</v>
      </c>
      <c r="AJ13" s="157" t="s">
        <v>7</v>
      </c>
      <c r="AK13" s="158"/>
      <c r="AL13" s="158"/>
      <c r="AM13" s="158"/>
      <c r="AN13" s="158"/>
      <c r="AO13" s="159">
        <f t="shared" si="10"/>
        <v>0</v>
      </c>
      <c r="AP13" s="160">
        <f t="shared" si="11"/>
        <v>0</v>
      </c>
      <c r="AQ13" s="157" t="s">
        <v>7</v>
      </c>
      <c r="AR13" s="158"/>
      <c r="AS13" s="158"/>
      <c r="AT13" s="158"/>
      <c r="AU13" s="158"/>
      <c r="AV13" s="159">
        <f t="shared" si="12"/>
        <v>0</v>
      </c>
      <c r="AW13" s="160">
        <f t="shared" si="13"/>
        <v>0</v>
      </c>
      <c r="AX13" s="157" t="s">
        <v>7</v>
      </c>
      <c r="AY13" s="158"/>
      <c r="AZ13" s="158"/>
      <c r="BA13" s="158"/>
      <c r="BB13" s="158"/>
      <c r="BC13" s="159">
        <f t="shared" si="14"/>
        <v>0</v>
      </c>
      <c r="BD13" s="160">
        <f t="shared" si="15"/>
        <v>0</v>
      </c>
    </row>
    <row r="14" spans="1:56" x14ac:dyDescent="0.25">
      <c r="A14" s="157" t="s">
        <v>8</v>
      </c>
      <c r="B14" s="158">
        <v>0.33333333333333331</v>
      </c>
      <c r="C14" s="158">
        <v>0.77083333333333337</v>
      </c>
      <c r="D14" s="158"/>
      <c r="E14" s="158"/>
      <c r="F14" s="159">
        <f t="shared" si="0"/>
        <v>0.43750000000000006</v>
      </c>
      <c r="G14" s="160">
        <f t="shared" si="1"/>
        <v>10.5</v>
      </c>
      <c r="H14" s="157" t="s">
        <v>8</v>
      </c>
      <c r="I14" s="158">
        <v>0.33333333333333331</v>
      </c>
      <c r="J14" s="158">
        <v>0.45833333333333331</v>
      </c>
      <c r="K14" s="158">
        <v>0.66666666666666663</v>
      </c>
      <c r="L14" s="158">
        <v>0.75</v>
      </c>
      <c r="M14" s="159">
        <f t="shared" si="2"/>
        <v>0.20833333333333337</v>
      </c>
      <c r="N14" s="160">
        <f t="shared" si="3"/>
        <v>5</v>
      </c>
      <c r="O14" s="157" t="s">
        <v>8</v>
      </c>
      <c r="P14" s="158"/>
      <c r="Q14" s="158"/>
      <c r="R14" s="158"/>
      <c r="S14" s="158"/>
      <c r="T14" s="159">
        <f t="shared" si="4"/>
        <v>0</v>
      </c>
      <c r="U14" s="160">
        <f t="shared" si="5"/>
        <v>0</v>
      </c>
      <c r="V14" s="157" t="s">
        <v>8</v>
      </c>
      <c r="W14" s="158"/>
      <c r="X14" s="158"/>
      <c r="Y14" s="158"/>
      <c r="Z14" s="158"/>
      <c r="AA14" s="159">
        <f t="shared" si="6"/>
        <v>0</v>
      </c>
      <c r="AB14" s="160">
        <f t="shared" si="7"/>
        <v>0</v>
      </c>
      <c r="AC14" s="157" t="s">
        <v>8</v>
      </c>
      <c r="AD14" s="158"/>
      <c r="AE14" s="158"/>
      <c r="AF14" s="158"/>
      <c r="AG14" s="158"/>
      <c r="AH14" s="159">
        <f t="shared" si="8"/>
        <v>0</v>
      </c>
      <c r="AI14" s="160">
        <f t="shared" si="9"/>
        <v>0</v>
      </c>
      <c r="AJ14" s="157" t="s">
        <v>8</v>
      </c>
      <c r="AK14" s="158"/>
      <c r="AL14" s="158"/>
      <c r="AM14" s="158"/>
      <c r="AN14" s="158"/>
      <c r="AO14" s="159">
        <f t="shared" si="10"/>
        <v>0</v>
      </c>
      <c r="AP14" s="160">
        <f t="shared" si="11"/>
        <v>0</v>
      </c>
      <c r="AQ14" s="157" t="s">
        <v>8</v>
      </c>
      <c r="AR14" s="158"/>
      <c r="AS14" s="158"/>
      <c r="AT14" s="158"/>
      <c r="AU14" s="158"/>
      <c r="AV14" s="159">
        <f t="shared" si="12"/>
        <v>0</v>
      </c>
      <c r="AW14" s="160">
        <f t="shared" si="13"/>
        <v>0</v>
      </c>
      <c r="AX14" s="157" t="s">
        <v>8</v>
      </c>
      <c r="AY14" s="158"/>
      <c r="AZ14" s="158"/>
      <c r="BA14" s="158"/>
      <c r="BB14" s="158"/>
      <c r="BC14" s="159">
        <f t="shared" si="14"/>
        <v>0</v>
      </c>
      <c r="BD14" s="160">
        <f t="shared" si="15"/>
        <v>0</v>
      </c>
    </row>
    <row r="15" spans="1:56" x14ac:dyDescent="0.25">
      <c r="A15" s="157" t="s">
        <v>9</v>
      </c>
      <c r="B15" s="158"/>
      <c r="C15" s="158"/>
      <c r="D15" s="158"/>
      <c r="E15" s="158"/>
      <c r="F15" s="159">
        <f t="shared" si="0"/>
        <v>0</v>
      </c>
      <c r="G15" s="160">
        <f t="shared" si="1"/>
        <v>0</v>
      </c>
      <c r="H15" s="157" t="s">
        <v>9</v>
      </c>
      <c r="I15" s="158"/>
      <c r="J15" s="158"/>
      <c r="K15" s="158"/>
      <c r="L15" s="158"/>
      <c r="M15" s="159">
        <f t="shared" si="2"/>
        <v>0</v>
      </c>
      <c r="N15" s="160">
        <f t="shared" si="3"/>
        <v>0</v>
      </c>
      <c r="O15" s="157" t="s">
        <v>9</v>
      </c>
      <c r="P15" s="158"/>
      <c r="Q15" s="158"/>
      <c r="R15" s="158"/>
      <c r="S15" s="158"/>
      <c r="T15" s="159">
        <f t="shared" si="4"/>
        <v>0</v>
      </c>
      <c r="U15" s="160">
        <f t="shared" si="5"/>
        <v>0</v>
      </c>
      <c r="V15" s="157" t="s">
        <v>9</v>
      </c>
      <c r="W15" s="158"/>
      <c r="X15" s="158"/>
      <c r="Y15" s="158"/>
      <c r="Z15" s="158"/>
      <c r="AA15" s="159">
        <f t="shared" si="6"/>
        <v>0</v>
      </c>
      <c r="AB15" s="160">
        <f t="shared" si="7"/>
        <v>0</v>
      </c>
      <c r="AC15" s="157" t="s">
        <v>9</v>
      </c>
      <c r="AD15" s="158"/>
      <c r="AE15" s="158"/>
      <c r="AF15" s="158"/>
      <c r="AG15" s="158"/>
      <c r="AH15" s="159">
        <f t="shared" si="8"/>
        <v>0</v>
      </c>
      <c r="AI15" s="160">
        <f t="shared" si="9"/>
        <v>0</v>
      </c>
      <c r="AJ15" s="157" t="s">
        <v>9</v>
      </c>
      <c r="AK15" s="158"/>
      <c r="AL15" s="158"/>
      <c r="AM15" s="158"/>
      <c r="AN15" s="158"/>
      <c r="AO15" s="159">
        <f t="shared" si="10"/>
        <v>0</v>
      </c>
      <c r="AP15" s="160">
        <f t="shared" si="11"/>
        <v>0</v>
      </c>
      <c r="AQ15" s="157" t="s">
        <v>9</v>
      </c>
      <c r="AR15" s="158"/>
      <c r="AS15" s="158"/>
      <c r="AT15" s="158"/>
      <c r="AU15" s="158"/>
      <c r="AV15" s="159">
        <f t="shared" si="12"/>
        <v>0</v>
      </c>
      <c r="AW15" s="160">
        <f t="shared" si="13"/>
        <v>0</v>
      </c>
      <c r="AX15" s="157" t="s">
        <v>9</v>
      </c>
      <c r="AY15" s="158"/>
      <c r="AZ15" s="158"/>
      <c r="BA15" s="158"/>
      <c r="BB15" s="158"/>
      <c r="BC15" s="159">
        <f t="shared" si="14"/>
        <v>0</v>
      </c>
      <c r="BD15" s="160">
        <f t="shared" si="15"/>
        <v>0</v>
      </c>
    </row>
    <row r="16" spans="1:56" x14ac:dyDescent="0.25">
      <c r="A16" s="157" t="s">
        <v>10</v>
      </c>
      <c r="B16" s="158"/>
      <c r="C16" s="158"/>
      <c r="D16" s="158"/>
      <c r="E16" s="158"/>
      <c r="F16" s="159">
        <f t="shared" si="0"/>
        <v>0</v>
      </c>
      <c r="G16" s="160">
        <f t="shared" si="1"/>
        <v>0</v>
      </c>
      <c r="H16" s="157" t="s">
        <v>10</v>
      </c>
      <c r="I16" s="158"/>
      <c r="J16" s="158"/>
      <c r="K16" s="158"/>
      <c r="L16" s="158"/>
      <c r="M16" s="159">
        <f t="shared" si="2"/>
        <v>0</v>
      </c>
      <c r="N16" s="160">
        <f t="shared" si="3"/>
        <v>0</v>
      </c>
      <c r="O16" s="157" t="s">
        <v>10</v>
      </c>
      <c r="P16" s="158"/>
      <c r="Q16" s="158"/>
      <c r="R16" s="158"/>
      <c r="S16" s="158"/>
      <c r="T16" s="159">
        <f t="shared" si="4"/>
        <v>0</v>
      </c>
      <c r="U16" s="160">
        <f t="shared" si="5"/>
        <v>0</v>
      </c>
      <c r="V16" s="157" t="s">
        <v>10</v>
      </c>
      <c r="W16" s="158"/>
      <c r="X16" s="158"/>
      <c r="Y16" s="158"/>
      <c r="Z16" s="158"/>
      <c r="AA16" s="159">
        <f t="shared" si="6"/>
        <v>0</v>
      </c>
      <c r="AB16" s="160">
        <f t="shared" si="7"/>
        <v>0</v>
      </c>
      <c r="AC16" s="157" t="s">
        <v>10</v>
      </c>
      <c r="AD16" s="158"/>
      <c r="AE16" s="158"/>
      <c r="AF16" s="158"/>
      <c r="AG16" s="158"/>
      <c r="AH16" s="159">
        <f t="shared" si="8"/>
        <v>0</v>
      </c>
      <c r="AI16" s="160">
        <f t="shared" si="9"/>
        <v>0</v>
      </c>
      <c r="AJ16" s="157" t="s">
        <v>10</v>
      </c>
      <c r="AK16" s="158"/>
      <c r="AL16" s="158"/>
      <c r="AM16" s="158"/>
      <c r="AN16" s="158"/>
      <c r="AO16" s="159">
        <f t="shared" si="10"/>
        <v>0</v>
      </c>
      <c r="AP16" s="160">
        <f t="shared" si="11"/>
        <v>0</v>
      </c>
      <c r="AQ16" s="157" t="s">
        <v>10</v>
      </c>
      <c r="AR16" s="158"/>
      <c r="AS16" s="158"/>
      <c r="AT16" s="158"/>
      <c r="AU16" s="158"/>
      <c r="AV16" s="159">
        <f t="shared" si="12"/>
        <v>0</v>
      </c>
      <c r="AW16" s="160">
        <f t="shared" si="13"/>
        <v>0</v>
      </c>
      <c r="AX16" s="157" t="s">
        <v>10</v>
      </c>
      <c r="AY16" s="158"/>
      <c r="AZ16" s="158"/>
      <c r="BA16" s="158"/>
      <c r="BB16" s="158"/>
      <c r="BC16" s="159">
        <f t="shared" si="14"/>
        <v>0</v>
      </c>
      <c r="BD16" s="160">
        <f t="shared" si="15"/>
        <v>0</v>
      </c>
    </row>
    <row r="17" spans="1:56" x14ac:dyDescent="0.25">
      <c r="B17" s="161"/>
      <c r="C17" s="161"/>
      <c r="D17" s="161"/>
      <c r="E17" s="161"/>
      <c r="F17" s="157" t="s">
        <v>56</v>
      </c>
      <c r="G17" s="160">
        <f>SUM(G10:G16)</f>
        <v>52.5</v>
      </c>
      <c r="I17" s="161"/>
      <c r="J17" s="161"/>
      <c r="K17" s="161"/>
      <c r="L17" s="161"/>
      <c r="M17" s="157" t="s">
        <v>56</v>
      </c>
      <c r="N17" s="160">
        <f>SUM(N10:N16)</f>
        <v>37</v>
      </c>
      <c r="P17" s="161"/>
      <c r="Q17" s="161"/>
      <c r="R17" s="161"/>
      <c r="S17" s="161"/>
      <c r="T17" s="157" t="s">
        <v>56</v>
      </c>
      <c r="U17" s="160">
        <f>SUM(U10:U16)</f>
        <v>14.75</v>
      </c>
      <c r="W17" s="161"/>
      <c r="X17" s="161"/>
      <c r="Y17" s="161"/>
      <c r="Z17" s="161"/>
      <c r="AA17" s="157" t="s">
        <v>56</v>
      </c>
      <c r="AB17" s="160">
        <f>SUM(AB10:AB16)</f>
        <v>0</v>
      </c>
      <c r="AD17" s="161"/>
      <c r="AE17" s="161"/>
      <c r="AF17" s="161"/>
      <c r="AG17" s="161"/>
      <c r="AH17" s="157" t="s">
        <v>56</v>
      </c>
      <c r="AI17" s="160">
        <f>SUM(AI10:AI16)</f>
        <v>0</v>
      </c>
      <c r="AK17" s="161"/>
      <c r="AL17" s="161"/>
      <c r="AM17" s="161"/>
      <c r="AN17" s="161"/>
      <c r="AO17" s="157" t="s">
        <v>56</v>
      </c>
      <c r="AP17" s="160">
        <f>SUM(AP10:AP16)</f>
        <v>0</v>
      </c>
      <c r="AR17" s="161"/>
      <c r="AS17" s="161"/>
      <c r="AT17" s="161"/>
      <c r="AU17" s="161"/>
      <c r="AV17" s="157" t="s">
        <v>56</v>
      </c>
      <c r="AW17" s="160">
        <f>SUM(AW10:AW16)</f>
        <v>0</v>
      </c>
      <c r="AY17" s="161"/>
      <c r="AZ17" s="161"/>
      <c r="BA17" s="161"/>
      <c r="BB17" s="161"/>
      <c r="BC17" s="157" t="s">
        <v>56</v>
      </c>
      <c r="BD17" s="160">
        <f>SUM(BD10:BD16)</f>
        <v>0</v>
      </c>
    </row>
    <row r="19" spans="1:56" x14ac:dyDescent="0.25">
      <c r="B19" s="162"/>
      <c r="C19" s="163"/>
      <c r="D19" s="163"/>
      <c r="E19" s="163"/>
      <c r="F19" s="164" t="s">
        <v>11</v>
      </c>
      <c r="G19" s="165">
        <f>+IF(G17&gt;=45,45,G17)</f>
        <v>45</v>
      </c>
      <c r="I19" s="162"/>
      <c r="J19" s="163"/>
      <c r="K19" s="163"/>
      <c r="L19" s="163"/>
      <c r="M19" s="164" t="s">
        <v>11</v>
      </c>
      <c r="N19" s="165">
        <f>+IF(N17&gt;=45,45,N17)</f>
        <v>37</v>
      </c>
      <c r="P19" s="162"/>
      <c r="Q19" s="163"/>
      <c r="R19" s="163"/>
      <c r="S19" s="163"/>
      <c r="T19" s="164" t="s">
        <v>11</v>
      </c>
      <c r="U19" s="165">
        <f>+IF(U17&gt;=45,45,U17)</f>
        <v>14.75</v>
      </c>
      <c r="W19" s="162"/>
      <c r="X19" s="163"/>
      <c r="Y19" s="163"/>
      <c r="Z19" s="163"/>
      <c r="AA19" s="164" t="s">
        <v>11</v>
      </c>
      <c r="AB19" s="165">
        <f>+IF(AB17&gt;=45,45,AB17)</f>
        <v>0</v>
      </c>
      <c r="AD19" s="162"/>
      <c r="AE19" s="163"/>
      <c r="AF19" s="163"/>
      <c r="AG19" s="163"/>
      <c r="AH19" s="164" t="s">
        <v>11</v>
      </c>
      <c r="AI19" s="165">
        <f>+IF(AI17&gt;=45,45,AI17)</f>
        <v>0</v>
      </c>
      <c r="AK19" s="162"/>
      <c r="AL19" s="163"/>
      <c r="AM19" s="163"/>
      <c r="AN19" s="163"/>
      <c r="AO19" s="164" t="s">
        <v>11</v>
      </c>
      <c r="AP19" s="165">
        <f>+IF(AP17&gt;=45,45,AP17)</f>
        <v>0</v>
      </c>
      <c r="AR19" s="162"/>
      <c r="AS19" s="163"/>
      <c r="AT19" s="163"/>
      <c r="AU19" s="163"/>
      <c r="AV19" s="164" t="s">
        <v>11</v>
      </c>
      <c r="AW19" s="165">
        <f>+IF(AW17&gt;=45,45,AW17)</f>
        <v>0</v>
      </c>
      <c r="AY19" s="162"/>
      <c r="AZ19" s="163"/>
      <c r="BA19" s="163"/>
      <c r="BB19" s="163"/>
      <c r="BC19" s="164" t="s">
        <v>11</v>
      </c>
      <c r="BD19" s="165">
        <f>+IF(BD17&gt;=45,45,BD17)</f>
        <v>0</v>
      </c>
    </row>
    <row r="20" spans="1:56" x14ac:dyDescent="0.25">
      <c r="B20" s="166"/>
      <c r="C20" s="167"/>
      <c r="D20" s="167"/>
      <c r="E20" s="167"/>
      <c r="F20" s="168" t="s">
        <v>12</v>
      </c>
      <c r="G20" s="165">
        <f>+IF(G17&gt;45,G17-45,0)</f>
        <v>7.5</v>
      </c>
      <c r="I20" s="166"/>
      <c r="J20" s="167"/>
      <c r="K20" s="167"/>
      <c r="L20" s="167"/>
      <c r="M20" s="168" t="s">
        <v>12</v>
      </c>
      <c r="N20" s="165">
        <f>+IF(N17&gt;45,N17-45,0)</f>
        <v>0</v>
      </c>
      <c r="P20" s="166"/>
      <c r="Q20" s="167"/>
      <c r="R20" s="167"/>
      <c r="S20" s="167"/>
      <c r="T20" s="168" t="s">
        <v>12</v>
      </c>
      <c r="U20" s="165">
        <f>+IF(U17&gt;45,U17-45,0)</f>
        <v>0</v>
      </c>
      <c r="W20" s="166"/>
      <c r="X20" s="167"/>
      <c r="Y20" s="167"/>
      <c r="Z20" s="167"/>
      <c r="AA20" s="168" t="s">
        <v>12</v>
      </c>
      <c r="AB20" s="165">
        <f>+IF(AB17&gt;45,AB17-45,0)</f>
        <v>0</v>
      </c>
      <c r="AD20" s="166"/>
      <c r="AE20" s="167"/>
      <c r="AF20" s="167"/>
      <c r="AG20" s="167"/>
      <c r="AH20" s="168" t="s">
        <v>12</v>
      </c>
      <c r="AI20" s="165">
        <f>+IF(AI17&gt;45,AI17-45,0)</f>
        <v>0</v>
      </c>
      <c r="AK20" s="166"/>
      <c r="AL20" s="167"/>
      <c r="AM20" s="167"/>
      <c r="AN20" s="167"/>
      <c r="AO20" s="168" t="s">
        <v>12</v>
      </c>
      <c r="AP20" s="165">
        <f>+IF(AP17&gt;45,AP17-45,0)</f>
        <v>0</v>
      </c>
      <c r="AR20" s="166"/>
      <c r="AS20" s="167"/>
      <c r="AT20" s="167"/>
      <c r="AU20" s="167"/>
      <c r="AV20" s="168" t="s">
        <v>12</v>
      </c>
      <c r="AW20" s="165">
        <f>+IF(AW17&gt;45,AW17-45,0)</f>
        <v>0</v>
      </c>
      <c r="AY20" s="166"/>
      <c r="AZ20" s="167"/>
      <c r="BA20" s="167"/>
      <c r="BB20" s="167"/>
      <c r="BC20" s="168" t="s">
        <v>12</v>
      </c>
      <c r="BD20" s="165">
        <f>+IF(BD17&gt;45,BD17-45,0)</f>
        <v>0</v>
      </c>
    </row>
    <row r="22" spans="1:56" x14ac:dyDescent="0.25">
      <c r="B22" s="162"/>
      <c r="C22" s="163"/>
      <c r="D22" s="163"/>
      <c r="E22" s="163"/>
      <c r="F22" s="169" t="s">
        <v>13</v>
      </c>
      <c r="G22" s="170">
        <v>20</v>
      </c>
      <c r="I22" s="162"/>
      <c r="J22" s="163"/>
      <c r="K22" s="163"/>
      <c r="L22" s="163"/>
      <c r="M22" s="169" t="s">
        <v>13</v>
      </c>
      <c r="N22" s="170">
        <v>12</v>
      </c>
      <c r="P22" s="162"/>
      <c r="Q22" s="163"/>
      <c r="R22" s="163"/>
      <c r="S22" s="163"/>
      <c r="T22" s="169" t="s">
        <v>13</v>
      </c>
      <c r="U22" s="170">
        <v>8</v>
      </c>
      <c r="W22" s="162"/>
      <c r="X22" s="163"/>
      <c r="Y22" s="163"/>
      <c r="Z22" s="163"/>
      <c r="AA22" s="169" t="s">
        <v>13</v>
      </c>
      <c r="AB22" s="170"/>
      <c r="AD22" s="162"/>
      <c r="AE22" s="163"/>
      <c r="AF22" s="163"/>
      <c r="AG22" s="163"/>
      <c r="AH22" s="169" t="s">
        <v>13</v>
      </c>
      <c r="AI22" s="170"/>
      <c r="AK22" s="162"/>
      <c r="AL22" s="163"/>
      <c r="AM22" s="163"/>
      <c r="AN22" s="163"/>
      <c r="AO22" s="169" t="s">
        <v>13</v>
      </c>
      <c r="AP22" s="170"/>
      <c r="AR22" s="162"/>
      <c r="AS22" s="163"/>
      <c r="AT22" s="163"/>
      <c r="AU22" s="163"/>
      <c r="AV22" s="169" t="s">
        <v>13</v>
      </c>
      <c r="AW22" s="170"/>
      <c r="AY22" s="162"/>
      <c r="AZ22" s="163"/>
      <c r="BA22" s="163"/>
      <c r="BB22" s="163"/>
      <c r="BC22" s="169" t="s">
        <v>13</v>
      </c>
      <c r="BD22" s="170"/>
    </row>
    <row r="24" spans="1:56" x14ac:dyDescent="0.25">
      <c r="B24" s="162"/>
      <c r="C24" s="163"/>
      <c r="D24" s="163"/>
      <c r="E24" s="163"/>
      <c r="F24" s="164" t="s">
        <v>14</v>
      </c>
      <c r="G24" s="165">
        <f>+G19*G22</f>
        <v>900</v>
      </c>
      <c r="I24" s="162"/>
      <c r="J24" s="163"/>
      <c r="K24" s="163"/>
      <c r="L24" s="163"/>
      <c r="M24" s="164" t="s">
        <v>14</v>
      </c>
      <c r="N24" s="165">
        <f>+N19*N22</f>
        <v>444</v>
      </c>
      <c r="P24" s="162"/>
      <c r="Q24" s="163"/>
      <c r="R24" s="163"/>
      <c r="S24" s="163"/>
      <c r="T24" s="164" t="s">
        <v>14</v>
      </c>
      <c r="U24" s="165">
        <f>+U19*U22</f>
        <v>118</v>
      </c>
      <c r="W24" s="162"/>
      <c r="X24" s="163"/>
      <c r="Y24" s="163"/>
      <c r="Z24" s="163"/>
      <c r="AA24" s="164" t="s">
        <v>14</v>
      </c>
      <c r="AB24" s="165">
        <f>+AB19*AB22</f>
        <v>0</v>
      </c>
      <c r="AD24" s="162"/>
      <c r="AE24" s="163"/>
      <c r="AF24" s="163"/>
      <c r="AG24" s="163"/>
      <c r="AH24" s="164" t="s">
        <v>14</v>
      </c>
      <c r="AI24" s="165">
        <f>+AI19*AI22</f>
        <v>0</v>
      </c>
      <c r="AK24" s="162"/>
      <c r="AL24" s="163"/>
      <c r="AM24" s="163"/>
      <c r="AN24" s="163"/>
      <c r="AO24" s="164" t="s">
        <v>14</v>
      </c>
      <c r="AP24" s="165">
        <f>+AP19*AP22</f>
        <v>0</v>
      </c>
      <c r="AR24" s="162"/>
      <c r="AS24" s="163"/>
      <c r="AT24" s="163"/>
      <c r="AU24" s="163"/>
      <c r="AV24" s="164" t="s">
        <v>14</v>
      </c>
      <c r="AW24" s="165">
        <f>+AW19*AW22</f>
        <v>0</v>
      </c>
      <c r="AY24" s="162"/>
      <c r="AZ24" s="163"/>
      <c r="BA24" s="163"/>
      <c r="BB24" s="163"/>
      <c r="BC24" s="164" t="s">
        <v>14</v>
      </c>
      <c r="BD24" s="165">
        <f>+BD19*BD22</f>
        <v>0</v>
      </c>
    </row>
    <row r="25" spans="1:56" x14ac:dyDescent="0.25">
      <c r="B25" s="166"/>
      <c r="C25" s="167"/>
      <c r="D25" s="167"/>
      <c r="E25" s="167"/>
      <c r="F25" s="168" t="s">
        <v>15</v>
      </c>
      <c r="G25" s="165">
        <f>+G20*G22</f>
        <v>150</v>
      </c>
      <c r="I25" s="166"/>
      <c r="J25" s="167"/>
      <c r="K25" s="167"/>
      <c r="L25" s="167"/>
      <c r="M25" s="168" t="s">
        <v>15</v>
      </c>
      <c r="N25" s="165">
        <f>+N20*N22</f>
        <v>0</v>
      </c>
      <c r="P25" s="166"/>
      <c r="Q25" s="167"/>
      <c r="R25" s="167"/>
      <c r="S25" s="167"/>
      <c r="T25" s="168" t="s">
        <v>15</v>
      </c>
      <c r="U25" s="165">
        <f>+U20*U22</f>
        <v>0</v>
      </c>
      <c r="W25" s="166"/>
      <c r="X25" s="167"/>
      <c r="Y25" s="167"/>
      <c r="Z25" s="167"/>
      <c r="AA25" s="168" t="s">
        <v>15</v>
      </c>
      <c r="AB25" s="165">
        <f>+AB20*AB22</f>
        <v>0</v>
      </c>
      <c r="AD25" s="166"/>
      <c r="AE25" s="167"/>
      <c r="AF25" s="167"/>
      <c r="AG25" s="167"/>
      <c r="AH25" s="168" t="s">
        <v>15</v>
      </c>
      <c r="AI25" s="165">
        <f>+AI20*AI22</f>
        <v>0</v>
      </c>
      <c r="AK25" s="166"/>
      <c r="AL25" s="167"/>
      <c r="AM25" s="167"/>
      <c r="AN25" s="167"/>
      <c r="AO25" s="168" t="s">
        <v>15</v>
      </c>
      <c r="AP25" s="165">
        <f>+AP20*AP22</f>
        <v>0</v>
      </c>
      <c r="AR25" s="166"/>
      <c r="AS25" s="167"/>
      <c r="AT25" s="167"/>
      <c r="AU25" s="167"/>
      <c r="AV25" s="168" t="s">
        <v>15</v>
      </c>
      <c r="AW25" s="165">
        <f>+AW20*AW22</f>
        <v>0</v>
      </c>
      <c r="AY25" s="166"/>
      <c r="AZ25" s="167"/>
      <c r="BA25" s="167"/>
      <c r="BB25" s="167"/>
      <c r="BC25" s="168" t="s">
        <v>15</v>
      </c>
      <c r="BD25" s="165">
        <f>+BD20*BD22</f>
        <v>0</v>
      </c>
    </row>
    <row r="27" spans="1:56" x14ac:dyDescent="0.25">
      <c r="B27" s="162"/>
      <c r="C27" s="163"/>
      <c r="D27" s="163"/>
      <c r="E27" s="163"/>
      <c r="F27" s="164" t="s">
        <v>48</v>
      </c>
      <c r="G27" s="171">
        <f>+COUNTIF(G10:G16,"&gt;0,001")*G22</f>
        <v>100</v>
      </c>
      <c r="I27" s="162"/>
      <c r="J27" s="163"/>
      <c r="K27" s="163"/>
      <c r="L27" s="163"/>
      <c r="M27" s="164" t="s">
        <v>48</v>
      </c>
      <c r="N27" s="171">
        <f>+COUNTIF(N10:N16,"&gt;0,001")*N22</f>
        <v>60</v>
      </c>
      <c r="P27" s="162"/>
      <c r="Q27" s="163"/>
      <c r="R27" s="163"/>
      <c r="S27" s="163"/>
      <c r="T27" s="164" t="s">
        <v>48</v>
      </c>
      <c r="U27" s="171">
        <f>+COUNTIF(U10:U16,"&gt;0,001")*U22</f>
        <v>16</v>
      </c>
      <c r="W27" s="162"/>
      <c r="X27" s="163"/>
      <c r="Y27" s="163"/>
      <c r="Z27" s="163"/>
      <c r="AA27" s="164" t="s">
        <v>48</v>
      </c>
      <c r="AB27" s="171">
        <f>+COUNTIF(AB10:AB16,"&gt;0,001")*AB22</f>
        <v>0</v>
      </c>
      <c r="AD27" s="162"/>
      <c r="AE27" s="163"/>
      <c r="AF27" s="163"/>
      <c r="AG27" s="163"/>
      <c r="AH27" s="164" t="s">
        <v>48</v>
      </c>
      <c r="AI27" s="171">
        <f>+COUNTIF(AI10:AI16,"&gt;0,001")*AI22</f>
        <v>0</v>
      </c>
      <c r="AK27" s="162"/>
      <c r="AL27" s="163"/>
      <c r="AM27" s="163"/>
      <c r="AN27" s="163"/>
      <c r="AO27" s="164" t="s">
        <v>48</v>
      </c>
      <c r="AP27" s="171">
        <f>+COUNTIF(AP10:AP16,"&gt;0,001")*AP22</f>
        <v>0</v>
      </c>
      <c r="AR27" s="162"/>
      <c r="AS27" s="163"/>
      <c r="AT27" s="163"/>
      <c r="AU27" s="163"/>
      <c r="AV27" s="164" t="s">
        <v>48</v>
      </c>
      <c r="AW27" s="171">
        <f>+COUNTIF(AW10:AW16,"&gt;0,001")*AW22</f>
        <v>0</v>
      </c>
      <c r="AY27" s="162"/>
      <c r="AZ27" s="163"/>
      <c r="BA27" s="163"/>
      <c r="BB27" s="163"/>
      <c r="BC27" s="164" t="s">
        <v>48</v>
      </c>
      <c r="BD27" s="171">
        <f>+COUNTIF(BD10:BD16,"&gt;0,001")*BD22</f>
        <v>0</v>
      </c>
    </row>
    <row r="28" spans="1:56" x14ac:dyDescent="0.25">
      <c r="F28" s="63"/>
      <c r="G28" s="172"/>
      <c r="M28" s="63"/>
      <c r="N28" s="172"/>
      <c r="T28" s="63"/>
      <c r="U28" s="172"/>
      <c r="AA28" s="63"/>
      <c r="AB28" s="172"/>
      <c r="AH28" s="63"/>
      <c r="AI28" s="172"/>
      <c r="AO28" s="63"/>
      <c r="AP28" s="172"/>
      <c r="AV28" s="63"/>
      <c r="AW28" s="172"/>
      <c r="BC28" s="63"/>
      <c r="BD28" s="172"/>
    </row>
    <row r="30" spans="1:56" ht="18.75" x14ac:dyDescent="0.3">
      <c r="A30" s="220" t="s">
        <v>24</v>
      </c>
      <c r="B30" s="221"/>
      <c r="C30" s="221"/>
      <c r="D30" s="221"/>
      <c r="E30" s="221"/>
      <c r="F30" s="221"/>
      <c r="G30" s="222"/>
      <c r="M30" s="63" t="s">
        <v>86</v>
      </c>
      <c r="N30" s="173" t="s">
        <v>71</v>
      </c>
    </row>
    <row r="32" spans="1:56" x14ac:dyDescent="0.25">
      <c r="F32" s="63" t="s">
        <v>13</v>
      </c>
      <c r="G32" s="174">
        <f>+G22+N22+U22+AB22+AI22+AP22+AW22+BD22</f>
        <v>40</v>
      </c>
      <c r="M32" s="63" t="s">
        <v>26</v>
      </c>
      <c r="N32" s="57">
        <f ca="1">+IF(N30="NON",VLOOKUP(D5,base,2,TRUE),VLOOKUP(D5,base,3,TRUE))</f>
        <v>0.88200000000000001</v>
      </c>
    </row>
    <row r="34" spans="1:14" x14ac:dyDescent="0.25">
      <c r="F34" s="63" t="s">
        <v>25</v>
      </c>
      <c r="G34" s="93" t="str">
        <f>+IF(G32=52,"COMPLETE", IF(G32&lt;47,"INCOMPLETE","ERREUR"))</f>
        <v>INCOMPLETE</v>
      </c>
    </row>
    <row r="36" spans="1:14" x14ac:dyDescent="0.25">
      <c r="F36" s="61" t="s">
        <v>57</v>
      </c>
      <c r="G36" s="93">
        <f>+IF(G32=52,52, IF(G32&lt;47,G32,"ERREUR"))</f>
        <v>40</v>
      </c>
      <c r="M36" s="63" t="s">
        <v>29</v>
      </c>
      <c r="N36" s="175">
        <v>0.25</v>
      </c>
    </row>
    <row r="38" spans="1:14" x14ac:dyDescent="0.25">
      <c r="F38" s="63" t="s">
        <v>35</v>
      </c>
      <c r="G38" s="176">
        <v>5</v>
      </c>
      <c r="M38" s="63" t="s">
        <v>31</v>
      </c>
      <c r="N38" s="177">
        <f>+G38*(1+N36)</f>
        <v>6.25</v>
      </c>
    </row>
    <row r="39" spans="1:14" x14ac:dyDescent="0.25">
      <c r="F39" s="63"/>
    </row>
    <row r="40" spans="1:14" x14ac:dyDescent="0.25">
      <c r="F40" s="63" t="s">
        <v>27</v>
      </c>
      <c r="G40" s="177">
        <f ca="1">+G38*N32</f>
        <v>4.41</v>
      </c>
      <c r="M40" s="63" t="s">
        <v>36</v>
      </c>
      <c r="N40" s="178">
        <v>4</v>
      </c>
    </row>
    <row r="41" spans="1:14" x14ac:dyDescent="0.25">
      <c r="F41" s="63"/>
      <c r="G41" s="177"/>
    </row>
    <row r="42" spans="1:14" x14ac:dyDescent="0.25">
      <c r="F42" s="63" t="s">
        <v>14</v>
      </c>
      <c r="G42" s="172">
        <f>(G24+N24+U24+AB24+AI24+AP24+AW24+BD24)*G36/G32</f>
        <v>1462</v>
      </c>
      <c r="M42" s="63" t="s">
        <v>62</v>
      </c>
      <c r="N42" s="178">
        <v>3.5</v>
      </c>
    </row>
    <row r="43" spans="1:14" x14ac:dyDescent="0.25">
      <c r="F43" s="63" t="s">
        <v>15</v>
      </c>
      <c r="G43" s="172">
        <f>(G25+N25+U25+AB25+AI25+AP25+AW25+BD25)*G36/G32</f>
        <v>150</v>
      </c>
    </row>
    <row r="44" spans="1:14" x14ac:dyDescent="0.25">
      <c r="F44" s="63"/>
      <c r="G44" s="172"/>
      <c r="M44" s="63" t="s">
        <v>63</v>
      </c>
      <c r="N44" s="178">
        <v>1</v>
      </c>
    </row>
    <row r="45" spans="1:14" x14ac:dyDescent="0.25">
      <c r="F45" s="63" t="s">
        <v>48</v>
      </c>
      <c r="G45" s="179">
        <f>+G27+N27+U27+AB27+AI27+AP27+AW27+BD27</f>
        <v>176</v>
      </c>
    </row>
    <row r="46" spans="1:14" x14ac:dyDescent="0.25">
      <c r="F46" s="63"/>
      <c r="G46" s="177"/>
      <c r="M46" s="63" t="s">
        <v>61</v>
      </c>
      <c r="N46" s="178">
        <v>2</v>
      </c>
    </row>
    <row r="47" spans="1:14" ht="18.75" x14ac:dyDescent="0.3">
      <c r="A47" s="220" t="s">
        <v>28</v>
      </c>
      <c r="B47" s="221"/>
      <c r="C47" s="221"/>
      <c r="D47" s="221"/>
      <c r="E47" s="221"/>
      <c r="F47" s="221"/>
      <c r="G47" s="222"/>
    </row>
    <row r="48" spans="1:14" ht="15.75" customHeight="1" x14ac:dyDescent="0.3">
      <c r="A48" s="180"/>
      <c r="B48" s="180"/>
      <c r="C48" s="180"/>
      <c r="D48" s="180"/>
      <c r="E48" s="180"/>
      <c r="F48" s="180"/>
      <c r="G48" s="180"/>
    </row>
    <row r="49" spans="1:7" ht="15.75" customHeight="1" x14ac:dyDescent="0.3">
      <c r="A49" s="180"/>
      <c r="F49" s="63" t="s">
        <v>49</v>
      </c>
      <c r="G49" s="179">
        <f>+G45/12</f>
        <v>14.666666666666666</v>
      </c>
    </row>
    <row r="50" spans="1:7" ht="15.75" customHeight="1" x14ac:dyDescent="0.25"/>
    <row r="51" spans="1:7" x14ac:dyDescent="0.25">
      <c r="F51" s="61" t="s">
        <v>23</v>
      </c>
      <c r="G51" s="181">
        <f>+G42/12</f>
        <v>121.83333333333333</v>
      </c>
    </row>
    <row r="52" spans="1:7" x14ac:dyDescent="0.25">
      <c r="F52" s="61" t="s">
        <v>12</v>
      </c>
      <c r="G52" s="181">
        <f>+G43/12</f>
        <v>12.5</v>
      </c>
    </row>
    <row r="53" spans="1:7" x14ac:dyDescent="0.25">
      <c r="F53" s="63"/>
      <c r="G53" s="182">
        <f>+G52+G51</f>
        <v>134.33333333333331</v>
      </c>
    </row>
    <row r="55" spans="1:7" x14ac:dyDescent="0.25">
      <c r="E55" s="93"/>
      <c r="F55" s="61" t="s">
        <v>30</v>
      </c>
      <c r="G55" s="147">
        <f>+(G51*G38)+(G52*N38)</f>
        <v>687.29166666666663</v>
      </c>
    </row>
    <row r="57" spans="1:7" x14ac:dyDescent="0.25">
      <c r="F57" s="63"/>
      <c r="G57" s="183"/>
    </row>
    <row r="59" spans="1:7" x14ac:dyDescent="0.25">
      <c r="F59" s="63"/>
      <c r="G59" s="183"/>
    </row>
    <row r="61" spans="1:7" x14ac:dyDescent="0.25">
      <c r="F61" s="61"/>
      <c r="G61" s="147"/>
    </row>
  </sheetData>
  <sheetProtection algorithmName="SHA-512" hashValue="9ddbaKoqUmAUHdVOJgO/sqp5zGh1R62/voaj2AfIvLn1AIgQSjXJCJeniPvi7etI7EGK29+9i/P/k+5Qvvrbsw==" saltValue="7sjsS9AgI/nIJhFkQ7Tb+g==" spinCount="100000" sheet="1" objects="1" scenarios="1" formatCells="0" formatColumns="0" formatRows="0" insertColumns="0" insertRows="0" insertHyperlinks="0" sort="0" autoFilter="0" pivotTables="0"/>
  <mergeCells count="12">
    <mergeCell ref="AC8:AI8"/>
    <mergeCell ref="AJ8:AP8"/>
    <mergeCell ref="AQ8:AW8"/>
    <mergeCell ref="AX8:BD8"/>
    <mergeCell ref="A1:N1"/>
    <mergeCell ref="D3:F3"/>
    <mergeCell ref="A47:G47"/>
    <mergeCell ref="A8:G8"/>
    <mergeCell ref="H8:N8"/>
    <mergeCell ref="O8:U8"/>
    <mergeCell ref="V8:AB8"/>
    <mergeCell ref="A30:G30"/>
  </mergeCells>
  <conditionalFormatting sqref="B10:E16">
    <cfRule type="notContainsBlanks" dxfId="146" priority="31">
      <formula>LEN(TRIM(B10))&gt;0</formula>
    </cfRule>
  </conditionalFormatting>
  <conditionalFormatting sqref="D3:F3">
    <cfRule type="notContainsBlanks" dxfId="145" priority="32">
      <formula>LEN(TRIM(D3))&gt;0</formula>
    </cfRule>
  </conditionalFormatting>
  <conditionalFormatting sqref="G22">
    <cfRule type="notContainsBlanks" dxfId="144" priority="22">
      <formula>LEN(TRIM(G22))&gt;0</formula>
    </cfRule>
    <cfRule type="cellIs" dxfId="143" priority="23" operator="between">
      <formula>47</formula>
      <formula>51</formula>
    </cfRule>
  </conditionalFormatting>
  <conditionalFormatting sqref="G32">
    <cfRule type="cellIs" dxfId="142" priority="33" operator="greaterThanOrEqual">
      <formula>52.0000001</formula>
    </cfRule>
    <cfRule type="cellIs" dxfId="141" priority="34" operator="between">
      <formula>46.9999999999</formula>
      <formula>51.99999</formula>
    </cfRule>
  </conditionalFormatting>
  <conditionalFormatting sqref="G38">
    <cfRule type="notContainsBlanks" dxfId="140" priority="9">
      <formula>LEN(TRIM(G38))&gt;0</formula>
    </cfRule>
  </conditionalFormatting>
  <conditionalFormatting sqref="I10:L16">
    <cfRule type="notContainsBlanks" dxfId="139" priority="30">
      <formula>LEN(TRIM(I10))&gt;0</formula>
    </cfRule>
  </conditionalFormatting>
  <conditionalFormatting sqref="N22">
    <cfRule type="notContainsBlanks" dxfId="138" priority="20">
      <formula>LEN(TRIM(N22))&gt;0</formula>
    </cfRule>
    <cfRule type="cellIs" dxfId="137" priority="21" operator="between">
      <formula>47</formula>
      <formula>51</formula>
    </cfRule>
  </conditionalFormatting>
  <conditionalFormatting sqref="N30">
    <cfRule type="notContainsBlanks" dxfId="136" priority="8">
      <formula>LEN(TRIM(N30))&gt;0</formula>
    </cfRule>
  </conditionalFormatting>
  <conditionalFormatting sqref="N36">
    <cfRule type="notContainsBlanks" dxfId="135" priority="7">
      <formula>LEN(TRIM(N36))&gt;0</formula>
    </cfRule>
  </conditionalFormatting>
  <conditionalFormatting sqref="N40">
    <cfRule type="notContainsBlanks" dxfId="134" priority="6">
      <formula>LEN(TRIM(N40))&gt;0</formula>
    </cfRule>
  </conditionalFormatting>
  <conditionalFormatting sqref="N42">
    <cfRule type="notContainsBlanks" dxfId="133" priority="5">
      <formula>LEN(TRIM(N42))&gt;0</formula>
    </cfRule>
  </conditionalFormatting>
  <conditionalFormatting sqref="N44">
    <cfRule type="notContainsBlanks" dxfId="132" priority="4">
      <formula>LEN(TRIM(N44))&gt;0</formula>
    </cfRule>
  </conditionalFormatting>
  <conditionalFormatting sqref="N46">
    <cfRule type="notContainsBlanks" dxfId="131" priority="3">
      <formula>LEN(TRIM(N46))&gt;0</formula>
    </cfRule>
  </conditionalFormatting>
  <conditionalFormatting sqref="P10:S16">
    <cfRule type="notContainsBlanks" dxfId="130" priority="29">
      <formula>LEN(TRIM(P10))&gt;0</formula>
    </cfRule>
  </conditionalFormatting>
  <conditionalFormatting sqref="U22">
    <cfRule type="notContainsBlanks" dxfId="129" priority="18">
      <formula>LEN(TRIM(U22))&gt;0</formula>
    </cfRule>
    <cfRule type="cellIs" dxfId="128" priority="19" operator="between">
      <formula>47</formula>
      <formula>51</formula>
    </cfRule>
  </conditionalFormatting>
  <conditionalFormatting sqref="W10:Z16">
    <cfRule type="notContainsBlanks" dxfId="127" priority="28">
      <formula>LEN(TRIM(W10))&gt;0</formula>
    </cfRule>
  </conditionalFormatting>
  <conditionalFormatting sqref="AB22">
    <cfRule type="notContainsBlanks" dxfId="126" priority="16">
      <formula>LEN(TRIM(AB22))&gt;0</formula>
    </cfRule>
    <cfRule type="cellIs" dxfId="125" priority="17" operator="between">
      <formula>47</formula>
      <formula>51</formula>
    </cfRule>
  </conditionalFormatting>
  <conditionalFormatting sqref="AD10:AG16">
    <cfRule type="notContainsBlanks" dxfId="124" priority="27">
      <formula>LEN(TRIM(AD10))&gt;0</formula>
    </cfRule>
  </conditionalFormatting>
  <conditionalFormatting sqref="AI22">
    <cfRule type="notContainsBlanks" dxfId="123" priority="14">
      <formula>LEN(TRIM(AI22))&gt;0</formula>
    </cfRule>
    <cfRule type="cellIs" dxfId="122" priority="15" operator="between">
      <formula>47</formula>
      <formula>51</formula>
    </cfRule>
  </conditionalFormatting>
  <conditionalFormatting sqref="AK10:AN16">
    <cfRule type="notContainsBlanks" dxfId="121" priority="26">
      <formula>LEN(TRIM(AK10))&gt;0</formula>
    </cfRule>
  </conditionalFormatting>
  <conditionalFormatting sqref="AP22">
    <cfRule type="notContainsBlanks" dxfId="120" priority="12">
      <formula>LEN(TRIM(AP22))&gt;0</formula>
    </cfRule>
    <cfRule type="cellIs" dxfId="119" priority="13" operator="between">
      <formula>47</formula>
      <formula>51</formula>
    </cfRule>
  </conditionalFormatting>
  <conditionalFormatting sqref="AR10:AU16">
    <cfRule type="notContainsBlanks" dxfId="118" priority="25">
      <formula>LEN(TRIM(AR10))&gt;0</formula>
    </cfRule>
  </conditionalFormatting>
  <conditionalFormatting sqref="AW22">
    <cfRule type="notContainsBlanks" dxfId="117" priority="10">
      <formula>LEN(TRIM(AW22))&gt;0</formula>
    </cfRule>
    <cfRule type="cellIs" dxfId="116" priority="11" operator="between">
      <formula>47</formula>
      <formula>51</formula>
    </cfRule>
  </conditionalFormatting>
  <conditionalFormatting sqref="AY10:BB16">
    <cfRule type="notContainsBlanks" dxfId="115" priority="24">
      <formula>LEN(TRIM(AY10))&gt;0</formula>
    </cfRule>
  </conditionalFormatting>
  <conditionalFormatting sqref="BD22">
    <cfRule type="notContainsBlanks" dxfId="114" priority="1">
      <formula>LEN(TRIM(BD22))&gt;0</formula>
    </cfRule>
    <cfRule type="cellIs" dxfId="113" priority="2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C4201782-E03A-4016-9840-7CD736463109}"/>
    <dataValidation type="list" allowBlank="1" showInputMessage="1" showErrorMessage="1" sqref="N30" xr:uid="{2D24C62B-8A84-490E-A8A0-A8D6E5ACD5A6}">
      <formula1>"OUI,NON"</formula1>
    </dataValidation>
  </dataValidation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499984740745262"/>
  </sheetPr>
  <dimension ref="A1:BD61"/>
  <sheetViews>
    <sheetView showGridLines="0" zoomScale="90" zoomScaleNormal="90" workbookViewId="0">
      <selection activeCell="A2" sqref="A2"/>
    </sheetView>
  </sheetViews>
  <sheetFormatPr baseColWidth="10" defaultRowHeight="15" x14ac:dyDescent="0.25"/>
  <cols>
    <col min="1" max="2" width="12.42578125" style="60" customWidth="1"/>
    <col min="3" max="3" width="15" style="60" customWidth="1"/>
    <col min="4" max="4" width="12.42578125" style="60" customWidth="1"/>
    <col min="5" max="5" width="14.5703125" style="60" customWidth="1"/>
    <col min="6" max="56" width="12.42578125" style="60" customWidth="1"/>
    <col min="57" max="16384" width="11.42578125" style="60"/>
  </cols>
  <sheetData>
    <row r="1" spans="1:56" ht="23.25" x14ac:dyDescent="0.35">
      <c r="A1" s="223" t="s">
        <v>33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3" spans="1:56" x14ac:dyDescent="0.25">
      <c r="C3" s="63" t="s">
        <v>34</v>
      </c>
      <c r="D3" s="224" t="s">
        <v>165</v>
      </c>
      <c r="E3" s="224"/>
      <c r="F3" s="224"/>
      <c r="I3" s="63"/>
      <c r="M3" s="121" t="s">
        <v>146</v>
      </c>
    </row>
    <row r="5" spans="1:56" ht="18.75" x14ac:dyDescent="0.3">
      <c r="A5" s="153" t="s">
        <v>32</v>
      </c>
      <c r="C5" s="154" t="s">
        <v>105</v>
      </c>
      <c r="D5" s="67">
        <f ca="1">+IF(D6="",NOW(),D6)</f>
        <v>46043.616195601855</v>
      </c>
      <c r="E5" s="74"/>
      <c r="F5" s="74"/>
    </row>
    <row r="6" spans="1:56" ht="18.75" x14ac:dyDescent="0.3">
      <c r="A6" s="153"/>
      <c r="C6" s="63" t="s">
        <v>106</v>
      </c>
      <c r="D6" s="155"/>
      <c r="E6" s="74"/>
      <c r="F6" s="74"/>
    </row>
    <row r="8" spans="1:56" ht="18.75" x14ac:dyDescent="0.3">
      <c r="A8" s="220" t="s">
        <v>1</v>
      </c>
      <c r="B8" s="221"/>
      <c r="C8" s="221"/>
      <c r="D8" s="221"/>
      <c r="E8" s="221"/>
      <c r="F8" s="221"/>
      <c r="G8" s="222"/>
      <c r="H8" s="220" t="s">
        <v>16</v>
      </c>
      <c r="I8" s="221"/>
      <c r="J8" s="221"/>
      <c r="K8" s="221"/>
      <c r="L8" s="221"/>
      <c r="M8" s="221"/>
      <c r="N8" s="222"/>
      <c r="O8" s="220" t="s">
        <v>17</v>
      </c>
      <c r="P8" s="221"/>
      <c r="Q8" s="221"/>
      <c r="R8" s="221"/>
      <c r="S8" s="221"/>
      <c r="T8" s="221"/>
      <c r="U8" s="222"/>
      <c r="V8" s="220" t="s">
        <v>18</v>
      </c>
      <c r="W8" s="221"/>
      <c r="X8" s="221"/>
      <c r="Y8" s="221"/>
      <c r="Z8" s="221"/>
      <c r="AA8" s="221"/>
      <c r="AB8" s="222"/>
      <c r="AC8" s="220" t="s">
        <v>19</v>
      </c>
      <c r="AD8" s="221"/>
      <c r="AE8" s="221"/>
      <c r="AF8" s="221"/>
      <c r="AG8" s="221"/>
      <c r="AH8" s="221"/>
      <c r="AI8" s="222"/>
      <c r="AJ8" s="220" t="s">
        <v>20</v>
      </c>
      <c r="AK8" s="221"/>
      <c r="AL8" s="221"/>
      <c r="AM8" s="221"/>
      <c r="AN8" s="221"/>
      <c r="AO8" s="221"/>
      <c r="AP8" s="222"/>
      <c r="AQ8" s="220" t="s">
        <v>21</v>
      </c>
      <c r="AR8" s="221"/>
      <c r="AS8" s="221"/>
      <c r="AT8" s="221"/>
      <c r="AU8" s="221"/>
      <c r="AV8" s="221"/>
      <c r="AW8" s="222"/>
      <c r="AX8" s="220" t="s">
        <v>22</v>
      </c>
      <c r="AY8" s="221"/>
      <c r="AZ8" s="221"/>
      <c r="BA8" s="221"/>
      <c r="BB8" s="221"/>
      <c r="BC8" s="221"/>
      <c r="BD8" s="222"/>
    </row>
    <row r="9" spans="1:56" ht="45" x14ac:dyDescent="0.25">
      <c r="A9" s="156" t="s">
        <v>0</v>
      </c>
      <c r="B9" s="156" t="s">
        <v>66</v>
      </c>
      <c r="C9" s="156" t="s">
        <v>67</v>
      </c>
      <c r="D9" s="156" t="s">
        <v>68</v>
      </c>
      <c r="E9" s="156" t="s">
        <v>69</v>
      </c>
      <c r="F9" s="156" t="s">
        <v>2</v>
      </c>
      <c r="G9" s="156" t="s">
        <v>3</v>
      </c>
      <c r="H9" s="156" t="s">
        <v>0</v>
      </c>
      <c r="I9" s="156" t="s">
        <v>66</v>
      </c>
      <c r="J9" s="156" t="s">
        <v>67</v>
      </c>
      <c r="K9" s="156" t="s">
        <v>68</v>
      </c>
      <c r="L9" s="156" t="s">
        <v>69</v>
      </c>
      <c r="M9" s="156" t="s">
        <v>2</v>
      </c>
      <c r="N9" s="156" t="s">
        <v>3</v>
      </c>
      <c r="O9" s="156" t="s">
        <v>0</v>
      </c>
      <c r="P9" s="156" t="s">
        <v>66</v>
      </c>
      <c r="Q9" s="156" t="s">
        <v>67</v>
      </c>
      <c r="R9" s="156" t="s">
        <v>68</v>
      </c>
      <c r="S9" s="156" t="s">
        <v>69</v>
      </c>
      <c r="T9" s="156" t="s">
        <v>2</v>
      </c>
      <c r="U9" s="156" t="s">
        <v>3</v>
      </c>
      <c r="V9" s="156" t="s">
        <v>0</v>
      </c>
      <c r="W9" s="156" t="s">
        <v>66</v>
      </c>
      <c r="X9" s="156" t="s">
        <v>67</v>
      </c>
      <c r="Y9" s="156" t="s">
        <v>68</v>
      </c>
      <c r="Z9" s="156" t="s">
        <v>69</v>
      </c>
      <c r="AA9" s="156" t="s">
        <v>2</v>
      </c>
      <c r="AB9" s="156" t="s">
        <v>3</v>
      </c>
      <c r="AC9" s="156" t="s">
        <v>0</v>
      </c>
      <c r="AD9" s="156" t="s">
        <v>66</v>
      </c>
      <c r="AE9" s="156" t="s">
        <v>67</v>
      </c>
      <c r="AF9" s="156" t="s">
        <v>68</v>
      </c>
      <c r="AG9" s="156" t="s">
        <v>69</v>
      </c>
      <c r="AH9" s="156" t="s">
        <v>2</v>
      </c>
      <c r="AI9" s="156" t="s">
        <v>3</v>
      </c>
      <c r="AJ9" s="156" t="s">
        <v>0</v>
      </c>
      <c r="AK9" s="156" t="s">
        <v>66</v>
      </c>
      <c r="AL9" s="156" t="s">
        <v>67</v>
      </c>
      <c r="AM9" s="156" t="s">
        <v>68</v>
      </c>
      <c r="AN9" s="156" t="s">
        <v>69</v>
      </c>
      <c r="AO9" s="156" t="s">
        <v>2</v>
      </c>
      <c r="AP9" s="156" t="s">
        <v>3</v>
      </c>
      <c r="AQ9" s="156" t="s">
        <v>0</v>
      </c>
      <c r="AR9" s="156" t="s">
        <v>66</v>
      </c>
      <c r="AS9" s="156" t="s">
        <v>67</v>
      </c>
      <c r="AT9" s="156" t="s">
        <v>68</v>
      </c>
      <c r="AU9" s="156" t="s">
        <v>69</v>
      </c>
      <c r="AV9" s="156" t="s">
        <v>2</v>
      </c>
      <c r="AW9" s="156" t="s">
        <v>3</v>
      </c>
      <c r="AX9" s="156" t="s">
        <v>0</v>
      </c>
      <c r="AY9" s="156" t="s">
        <v>66</v>
      </c>
      <c r="AZ9" s="156" t="s">
        <v>67</v>
      </c>
      <c r="BA9" s="156" t="s">
        <v>68</v>
      </c>
      <c r="BB9" s="156" t="s">
        <v>69</v>
      </c>
      <c r="BC9" s="156" t="s">
        <v>2</v>
      </c>
      <c r="BD9" s="156" t="s">
        <v>3</v>
      </c>
    </row>
    <row r="10" spans="1:56" x14ac:dyDescent="0.25">
      <c r="A10" s="157" t="s">
        <v>4</v>
      </c>
      <c r="B10" s="158">
        <v>0.33333333333333331</v>
      </c>
      <c r="C10" s="158">
        <v>0.77083333333333337</v>
      </c>
      <c r="D10" s="158"/>
      <c r="E10" s="158"/>
      <c r="F10" s="159">
        <f>+C10-B10+E10-D10</f>
        <v>0.43750000000000006</v>
      </c>
      <c r="G10" s="160">
        <f>ROUND(+F10*24,2)</f>
        <v>10.5</v>
      </c>
      <c r="H10" s="157" t="s">
        <v>4</v>
      </c>
      <c r="I10" s="158"/>
      <c r="J10" s="158"/>
      <c r="K10" s="158"/>
      <c r="L10" s="158"/>
      <c r="M10" s="159">
        <f>+J10-I10+L10-K10</f>
        <v>0</v>
      </c>
      <c r="N10" s="160">
        <f>ROUND(+M10*24,2)</f>
        <v>0</v>
      </c>
      <c r="O10" s="157" t="s">
        <v>4</v>
      </c>
      <c r="P10" s="158"/>
      <c r="Q10" s="158"/>
      <c r="R10" s="158"/>
      <c r="S10" s="158"/>
      <c r="T10" s="159">
        <f>+Q10-P10+S10-R10</f>
        <v>0</v>
      </c>
      <c r="U10" s="160">
        <f>ROUND(+T10*24,2)</f>
        <v>0</v>
      </c>
      <c r="V10" s="157" t="s">
        <v>4</v>
      </c>
      <c r="W10" s="158"/>
      <c r="X10" s="158"/>
      <c r="Y10" s="158"/>
      <c r="Z10" s="158"/>
      <c r="AA10" s="159">
        <f>+X10-W10+Z10-Y10</f>
        <v>0</v>
      </c>
      <c r="AB10" s="160">
        <f>ROUND(+AA10*24,2)</f>
        <v>0</v>
      </c>
      <c r="AC10" s="157" t="s">
        <v>4</v>
      </c>
      <c r="AD10" s="158"/>
      <c r="AE10" s="158"/>
      <c r="AF10" s="158"/>
      <c r="AG10" s="158"/>
      <c r="AH10" s="159">
        <f>+AE10-AD10+AG10-AF10</f>
        <v>0</v>
      </c>
      <c r="AI10" s="160">
        <f>ROUND(+AH10*24,2)</f>
        <v>0</v>
      </c>
      <c r="AJ10" s="157" t="s">
        <v>4</v>
      </c>
      <c r="AK10" s="158"/>
      <c r="AL10" s="158"/>
      <c r="AM10" s="158"/>
      <c r="AN10" s="158"/>
      <c r="AO10" s="159">
        <f>+AL10-AK10+AN10-AM10</f>
        <v>0</v>
      </c>
      <c r="AP10" s="160">
        <f>ROUND(+AO10*24,2)</f>
        <v>0</v>
      </c>
      <c r="AQ10" s="157" t="s">
        <v>4</v>
      </c>
      <c r="AR10" s="158"/>
      <c r="AS10" s="158"/>
      <c r="AT10" s="158"/>
      <c r="AU10" s="158"/>
      <c r="AV10" s="159">
        <f>+AS10-AR10+AU10-AT10</f>
        <v>0</v>
      </c>
      <c r="AW10" s="160">
        <f>ROUND(+AV10*24,2)</f>
        <v>0</v>
      </c>
      <c r="AX10" s="157" t="s">
        <v>4</v>
      </c>
      <c r="AY10" s="158"/>
      <c r="AZ10" s="158"/>
      <c r="BA10" s="158"/>
      <c r="BB10" s="158"/>
      <c r="BC10" s="159">
        <f>+AZ10-AY10+BB10-BA10</f>
        <v>0</v>
      </c>
      <c r="BD10" s="160">
        <f>ROUND(+BC10*24,2)</f>
        <v>0</v>
      </c>
    </row>
    <row r="11" spans="1:56" x14ac:dyDescent="0.25">
      <c r="A11" s="157" t="s">
        <v>5</v>
      </c>
      <c r="B11" s="158">
        <v>0.33333333333333331</v>
      </c>
      <c r="C11" s="158">
        <v>0.77083333333333337</v>
      </c>
      <c r="D11" s="158"/>
      <c r="E11" s="158"/>
      <c r="F11" s="159">
        <f t="shared" ref="F11:F16" si="0">+C11-B11+E11-D11</f>
        <v>0.43750000000000006</v>
      </c>
      <c r="G11" s="160">
        <f t="shared" ref="G11:G16" si="1">ROUND(+F11*24,2)</f>
        <v>10.5</v>
      </c>
      <c r="H11" s="157" t="s">
        <v>5</v>
      </c>
      <c r="I11" s="158"/>
      <c r="J11" s="158"/>
      <c r="K11" s="158"/>
      <c r="L11" s="158"/>
      <c r="M11" s="159">
        <f t="shared" ref="M11:M16" si="2">+J11-I11+L11-K11</f>
        <v>0</v>
      </c>
      <c r="N11" s="160">
        <f t="shared" ref="N11:N16" si="3">ROUND(+M11*24,2)</f>
        <v>0</v>
      </c>
      <c r="O11" s="157" t="s">
        <v>5</v>
      </c>
      <c r="P11" s="158"/>
      <c r="Q11" s="158"/>
      <c r="R11" s="158"/>
      <c r="S11" s="158"/>
      <c r="T11" s="159">
        <f t="shared" ref="T11:T16" si="4">+Q11-P11+S11-R11</f>
        <v>0</v>
      </c>
      <c r="U11" s="160">
        <f t="shared" ref="U11:U16" si="5">ROUND(+T11*24,2)</f>
        <v>0</v>
      </c>
      <c r="V11" s="157" t="s">
        <v>5</v>
      </c>
      <c r="W11" s="158"/>
      <c r="X11" s="158"/>
      <c r="Y11" s="158"/>
      <c r="Z11" s="158"/>
      <c r="AA11" s="159">
        <f t="shared" ref="AA11:AA16" si="6">+X11-W11+Z11-Y11</f>
        <v>0</v>
      </c>
      <c r="AB11" s="160">
        <f t="shared" ref="AB11:AB16" si="7">ROUND(+AA11*24,2)</f>
        <v>0</v>
      </c>
      <c r="AC11" s="157" t="s">
        <v>5</v>
      </c>
      <c r="AD11" s="158"/>
      <c r="AE11" s="158"/>
      <c r="AF11" s="158"/>
      <c r="AG11" s="158"/>
      <c r="AH11" s="159">
        <f t="shared" ref="AH11:AH16" si="8">+AE11-AD11+AG11-AF11</f>
        <v>0</v>
      </c>
      <c r="AI11" s="160">
        <f t="shared" ref="AI11:AI16" si="9">ROUND(+AH11*24,2)</f>
        <v>0</v>
      </c>
      <c r="AJ11" s="157" t="s">
        <v>5</v>
      </c>
      <c r="AK11" s="158"/>
      <c r="AL11" s="158"/>
      <c r="AM11" s="158"/>
      <c r="AN11" s="158"/>
      <c r="AO11" s="159">
        <f t="shared" ref="AO11:AO16" si="10">+AL11-AK11+AN11-AM11</f>
        <v>0</v>
      </c>
      <c r="AP11" s="160">
        <f t="shared" ref="AP11:AP16" si="11">ROUND(+AO11*24,2)</f>
        <v>0</v>
      </c>
      <c r="AQ11" s="157" t="s">
        <v>5</v>
      </c>
      <c r="AR11" s="158"/>
      <c r="AS11" s="158"/>
      <c r="AT11" s="158"/>
      <c r="AU11" s="158"/>
      <c r="AV11" s="159">
        <f t="shared" ref="AV11:AV16" si="12">+AS11-AR11+AU11-AT11</f>
        <v>0</v>
      </c>
      <c r="AW11" s="160">
        <f t="shared" ref="AW11:AW16" si="13">ROUND(+AV11*24,2)</f>
        <v>0</v>
      </c>
      <c r="AX11" s="157" t="s">
        <v>5</v>
      </c>
      <c r="AY11" s="158"/>
      <c r="AZ11" s="158"/>
      <c r="BA11" s="158"/>
      <c r="BB11" s="158"/>
      <c r="BC11" s="159">
        <f t="shared" ref="BC11:BC16" si="14">+AZ11-AY11+BB11-BA11</f>
        <v>0</v>
      </c>
      <c r="BD11" s="160">
        <f t="shared" ref="BD11:BD16" si="15">ROUND(+BC11*24,2)</f>
        <v>0</v>
      </c>
    </row>
    <row r="12" spans="1:56" x14ac:dyDescent="0.25">
      <c r="A12" s="157" t="s">
        <v>6</v>
      </c>
      <c r="B12" s="158">
        <v>0.33333333333333331</v>
      </c>
      <c r="C12" s="158">
        <v>0.77083333333333337</v>
      </c>
      <c r="D12" s="158"/>
      <c r="E12" s="158"/>
      <c r="F12" s="159">
        <f t="shared" si="0"/>
        <v>0.43750000000000006</v>
      </c>
      <c r="G12" s="160">
        <f t="shared" si="1"/>
        <v>10.5</v>
      </c>
      <c r="H12" s="157" t="s">
        <v>6</v>
      </c>
      <c r="I12" s="158"/>
      <c r="J12" s="158"/>
      <c r="K12" s="158"/>
      <c r="L12" s="158"/>
      <c r="M12" s="159">
        <f t="shared" si="2"/>
        <v>0</v>
      </c>
      <c r="N12" s="160">
        <f t="shared" si="3"/>
        <v>0</v>
      </c>
      <c r="O12" s="157" t="s">
        <v>6</v>
      </c>
      <c r="P12" s="158"/>
      <c r="Q12" s="158"/>
      <c r="R12" s="158"/>
      <c r="S12" s="158"/>
      <c r="T12" s="159">
        <f t="shared" si="4"/>
        <v>0</v>
      </c>
      <c r="U12" s="160">
        <f t="shared" si="5"/>
        <v>0</v>
      </c>
      <c r="V12" s="157" t="s">
        <v>6</v>
      </c>
      <c r="W12" s="158"/>
      <c r="X12" s="158"/>
      <c r="Y12" s="158"/>
      <c r="Z12" s="158"/>
      <c r="AA12" s="159">
        <f t="shared" si="6"/>
        <v>0</v>
      </c>
      <c r="AB12" s="160">
        <f t="shared" si="7"/>
        <v>0</v>
      </c>
      <c r="AC12" s="157" t="s">
        <v>6</v>
      </c>
      <c r="AD12" s="158"/>
      <c r="AE12" s="158"/>
      <c r="AF12" s="158"/>
      <c r="AG12" s="158"/>
      <c r="AH12" s="159">
        <f t="shared" si="8"/>
        <v>0</v>
      </c>
      <c r="AI12" s="160">
        <f t="shared" si="9"/>
        <v>0</v>
      </c>
      <c r="AJ12" s="157" t="s">
        <v>6</v>
      </c>
      <c r="AK12" s="158"/>
      <c r="AL12" s="158"/>
      <c r="AM12" s="158"/>
      <c r="AN12" s="158"/>
      <c r="AO12" s="159">
        <f t="shared" si="10"/>
        <v>0</v>
      </c>
      <c r="AP12" s="160">
        <f t="shared" si="11"/>
        <v>0</v>
      </c>
      <c r="AQ12" s="157" t="s">
        <v>6</v>
      </c>
      <c r="AR12" s="158"/>
      <c r="AS12" s="158"/>
      <c r="AT12" s="158"/>
      <c r="AU12" s="158"/>
      <c r="AV12" s="159">
        <f t="shared" si="12"/>
        <v>0</v>
      </c>
      <c r="AW12" s="160">
        <f t="shared" si="13"/>
        <v>0</v>
      </c>
      <c r="AX12" s="157" t="s">
        <v>6</v>
      </c>
      <c r="AY12" s="158"/>
      <c r="AZ12" s="158"/>
      <c r="BA12" s="158"/>
      <c r="BB12" s="158"/>
      <c r="BC12" s="159">
        <f t="shared" si="14"/>
        <v>0</v>
      </c>
      <c r="BD12" s="160">
        <f t="shared" si="15"/>
        <v>0</v>
      </c>
    </row>
    <row r="13" spans="1:56" x14ac:dyDescent="0.25">
      <c r="A13" s="157" t="s">
        <v>7</v>
      </c>
      <c r="B13" s="158">
        <v>0.33333333333333331</v>
      </c>
      <c r="C13" s="158">
        <v>0.77083333333333337</v>
      </c>
      <c r="D13" s="158"/>
      <c r="E13" s="158"/>
      <c r="F13" s="159">
        <f t="shared" si="0"/>
        <v>0.43750000000000006</v>
      </c>
      <c r="G13" s="160">
        <f t="shared" si="1"/>
        <v>10.5</v>
      </c>
      <c r="H13" s="157" t="s">
        <v>7</v>
      </c>
      <c r="I13" s="158"/>
      <c r="J13" s="158"/>
      <c r="K13" s="158"/>
      <c r="L13" s="158"/>
      <c r="M13" s="159">
        <f t="shared" si="2"/>
        <v>0</v>
      </c>
      <c r="N13" s="160">
        <f t="shared" si="3"/>
        <v>0</v>
      </c>
      <c r="O13" s="157" t="s">
        <v>7</v>
      </c>
      <c r="P13" s="158"/>
      <c r="Q13" s="158"/>
      <c r="R13" s="158"/>
      <c r="S13" s="158"/>
      <c r="T13" s="159">
        <f t="shared" si="4"/>
        <v>0</v>
      </c>
      <c r="U13" s="160">
        <f t="shared" si="5"/>
        <v>0</v>
      </c>
      <c r="V13" s="157" t="s">
        <v>7</v>
      </c>
      <c r="W13" s="158"/>
      <c r="X13" s="158"/>
      <c r="Y13" s="158"/>
      <c r="Z13" s="158"/>
      <c r="AA13" s="159">
        <f t="shared" si="6"/>
        <v>0</v>
      </c>
      <c r="AB13" s="160">
        <f t="shared" si="7"/>
        <v>0</v>
      </c>
      <c r="AC13" s="157" t="s">
        <v>7</v>
      </c>
      <c r="AD13" s="158"/>
      <c r="AE13" s="158"/>
      <c r="AF13" s="158"/>
      <c r="AG13" s="158"/>
      <c r="AH13" s="159">
        <f t="shared" si="8"/>
        <v>0</v>
      </c>
      <c r="AI13" s="160">
        <f t="shared" si="9"/>
        <v>0</v>
      </c>
      <c r="AJ13" s="157" t="s">
        <v>7</v>
      </c>
      <c r="AK13" s="158"/>
      <c r="AL13" s="158"/>
      <c r="AM13" s="158"/>
      <c r="AN13" s="158"/>
      <c r="AO13" s="159">
        <f t="shared" si="10"/>
        <v>0</v>
      </c>
      <c r="AP13" s="160">
        <f t="shared" si="11"/>
        <v>0</v>
      </c>
      <c r="AQ13" s="157" t="s">
        <v>7</v>
      </c>
      <c r="AR13" s="158"/>
      <c r="AS13" s="158"/>
      <c r="AT13" s="158"/>
      <c r="AU13" s="158"/>
      <c r="AV13" s="159">
        <f t="shared" si="12"/>
        <v>0</v>
      </c>
      <c r="AW13" s="160">
        <f t="shared" si="13"/>
        <v>0</v>
      </c>
      <c r="AX13" s="157" t="s">
        <v>7</v>
      </c>
      <c r="AY13" s="158"/>
      <c r="AZ13" s="158"/>
      <c r="BA13" s="158"/>
      <c r="BB13" s="158"/>
      <c r="BC13" s="159">
        <f t="shared" si="14"/>
        <v>0</v>
      </c>
      <c r="BD13" s="160">
        <f t="shared" si="15"/>
        <v>0</v>
      </c>
    </row>
    <row r="14" spans="1:56" x14ac:dyDescent="0.25">
      <c r="A14" s="157" t="s">
        <v>8</v>
      </c>
      <c r="B14" s="158">
        <v>0.33333333333333331</v>
      </c>
      <c r="C14" s="158">
        <v>0.77083333333333337</v>
      </c>
      <c r="D14" s="158"/>
      <c r="E14" s="158"/>
      <c r="F14" s="159">
        <f t="shared" si="0"/>
        <v>0.43750000000000006</v>
      </c>
      <c r="G14" s="160">
        <f t="shared" si="1"/>
        <v>10.5</v>
      </c>
      <c r="H14" s="157" t="s">
        <v>8</v>
      </c>
      <c r="I14" s="158"/>
      <c r="J14" s="158"/>
      <c r="K14" s="158"/>
      <c r="L14" s="158"/>
      <c r="M14" s="159">
        <f t="shared" si="2"/>
        <v>0</v>
      </c>
      <c r="N14" s="160">
        <f t="shared" si="3"/>
        <v>0</v>
      </c>
      <c r="O14" s="157" t="s">
        <v>8</v>
      </c>
      <c r="P14" s="158"/>
      <c r="Q14" s="158"/>
      <c r="R14" s="158"/>
      <c r="S14" s="158"/>
      <c r="T14" s="159">
        <f t="shared" si="4"/>
        <v>0</v>
      </c>
      <c r="U14" s="160">
        <f t="shared" si="5"/>
        <v>0</v>
      </c>
      <c r="V14" s="157" t="s">
        <v>8</v>
      </c>
      <c r="W14" s="158"/>
      <c r="X14" s="158"/>
      <c r="Y14" s="158"/>
      <c r="Z14" s="158"/>
      <c r="AA14" s="159">
        <f t="shared" si="6"/>
        <v>0</v>
      </c>
      <c r="AB14" s="160">
        <f t="shared" si="7"/>
        <v>0</v>
      </c>
      <c r="AC14" s="157" t="s">
        <v>8</v>
      </c>
      <c r="AD14" s="158"/>
      <c r="AE14" s="158"/>
      <c r="AF14" s="158"/>
      <c r="AG14" s="158"/>
      <c r="AH14" s="159">
        <f t="shared" si="8"/>
        <v>0</v>
      </c>
      <c r="AI14" s="160">
        <f t="shared" si="9"/>
        <v>0</v>
      </c>
      <c r="AJ14" s="157" t="s">
        <v>8</v>
      </c>
      <c r="AK14" s="158"/>
      <c r="AL14" s="158"/>
      <c r="AM14" s="158"/>
      <c r="AN14" s="158"/>
      <c r="AO14" s="159">
        <f t="shared" si="10"/>
        <v>0</v>
      </c>
      <c r="AP14" s="160">
        <f t="shared" si="11"/>
        <v>0</v>
      </c>
      <c r="AQ14" s="157" t="s">
        <v>8</v>
      </c>
      <c r="AR14" s="158"/>
      <c r="AS14" s="158"/>
      <c r="AT14" s="158"/>
      <c r="AU14" s="158"/>
      <c r="AV14" s="159">
        <f t="shared" si="12"/>
        <v>0</v>
      </c>
      <c r="AW14" s="160">
        <f t="shared" si="13"/>
        <v>0</v>
      </c>
      <c r="AX14" s="157" t="s">
        <v>8</v>
      </c>
      <c r="AY14" s="158"/>
      <c r="AZ14" s="158"/>
      <c r="BA14" s="158"/>
      <c r="BB14" s="158"/>
      <c r="BC14" s="159">
        <f t="shared" si="14"/>
        <v>0</v>
      </c>
      <c r="BD14" s="160">
        <f t="shared" si="15"/>
        <v>0</v>
      </c>
    </row>
    <row r="15" spans="1:56" x14ac:dyDescent="0.25">
      <c r="A15" s="157" t="s">
        <v>9</v>
      </c>
      <c r="B15" s="158"/>
      <c r="C15" s="158"/>
      <c r="D15" s="158"/>
      <c r="E15" s="158"/>
      <c r="F15" s="159">
        <f t="shared" si="0"/>
        <v>0</v>
      </c>
      <c r="G15" s="160">
        <f t="shared" si="1"/>
        <v>0</v>
      </c>
      <c r="H15" s="157" t="s">
        <v>9</v>
      </c>
      <c r="I15" s="158"/>
      <c r="J15" s="158"/>
      <c r="K15" s="158"/>
      <c r="L15" s="158"/>
      <c r="M15" s="159">
        <f t="shared" si="2"/>
        <v>0</v>
      </c>
      <c r="N15" s="160">
        <f t="shared" si="3"/>
        <v>0</v>
      </c>
      <c r="O15" s="157" t="s">
        <v>9</v>
      </c>
      <c r="P15" s="158"/>
      <c r="Q15" s="158"/>
      <c r="R15" s="158"/>
      <c r="S15" s="158"/>
      <c r="T15" s="159">
        <f t="shared" si="4"/>
        <v>0</v>
      </c>
      <c r="U15" s="160">
        <f t="shared" si="5"/>
        <v>0</v>
      </c>
      <c r="V15" s="157" t="s">
        <v>9</v>
      </c>
      <c r="W15" s="158"/>
      <c r="X15" s="158"/>
      <c r="Y15" s="158"/>
      <c r="Z15" s="158"/>
      <c r="AA15" s="159">
        <f t="shared" si="6"/>
        <v>0</v>
      </c>
      <c r="AB15" s="160">
        <f t="shared" si="7"/>
        <v>0</v>
      </c>
      <c r="AC15" s="157" t="s">
        <v>9</v>
      </c>
      <c r="AD15" s="158"/>
      <c r="AE15" s="158"/>
      <c r="AF15" s="158"/>
      <c r="AG15" s="158"/>
      <c r="AH15" s="159">
        <f t="shared" si="8"/>
        <v>0</v>
      </c>
      <c r="AI15" s="160">
        <f t="shared" si="9"/>
        <v>0</v>
      </c>
      <c r="AJ15" s="157" t="s">
        <v>9</v>
      </c>
      <c r="AK15" s="158"/>
      <c r="AL15" s="158"/>
      <c r="AM15" s="158"/>
      <c r="AN15" s="158"/>
      <c r="AO15" s="159">
        <f t="shared" si="10"/>
        <v>0</v>
      </c>
      <c r="AP15" s="160">
        <f t="shared" si="11"/>
        <v>0</v>
      </c>
      <c r="AQ15" s="157" t="s">
        <v>9</v>
      </c>
      <c r="AR15" s="158"/>
      <c r="AS15" s="158"/>
      <c r="AT15" s="158"/>
      <c r="AU15" s="158"/>
      <c r="AV15" s="159">
        <f t="shared" si="12"/>
        <v>0</v>
      </c>
      <c r="AW15" s="160">
        <f t="shared" si="13"/>
        <v>0</v>
      </c>
      <c r="AX15" s="157" t="s">
        <v>9</v>
      </c>
      <c r="AY15" s="158"/>
      <c r="AZ15" s="158"/>
      <c r="BA15" s="158"/>
      <c r="BB15" s="158"/>
      <c r="BC15" s="159">
        <f t="shared" si="14"/>
        <v>0</v>
      </c>
      <c r="BD15" s="160">
        <f t="shared" si="15"/>
        <v>0</v>
      </c>
    </row>
    <row r="16" spans="1:56" x14ac:dyDescent="0.25">
      <c r="A16" s="157" t="s">
        <v>10</v>
      </c>
      <c r="B16" s="158"/>
      <c r="C16" s="158"/>
      <c r="D16" s="158"/>
      <c r="E16" s="158"/>
      <c r="F16" s="159">
        <f t="shared" si="0"/>
        <v>0</v>
      </c>
      <c r="G16" s="160">
        <f t="shared" si="1"/>
        <v>0</v>
      </c>
      <c r="H16" s="157" t="s">
        <v>10</v>
      </c>
      <c r="I16" s="158"/>
      <c r="J16" s="158"/>
      <c r="K16" s="158"/>
      <c r="L16" s="158"/>
      <c r="M16" s="159">
        <f t="shared" si="2"/>
        <v>0</v>
      </c>
      <c r="N16" s="160">
        <f t="shared" si="3"/>
        <v>0</v>
      </c>
      <c r="O16" s="157" t="s">
        <v>10</v>
      </c>
      <c r="P16" s="158"/>
      <c r="Q16" s="158"/>
      <c r="R16" s="158"/>
      <c r="S16" s="158"/>
      <c r="T16" s="159">
        <f t="shared" si="4"/>
        <v>0</v>
      </c>
      <c r="U16" s="160">
        <f t="shared" si="5"/>
        <v>0</v>
      </c>
      <c r="V16" s="157" t="s">
        <v>10</v>
      </c>
      <c r="W16" s="158"/>
      <c r="X16" s="158"/>
      <c r="Y16" s="158"/>
      <c r="Z16" s="158"/>
      <c r="AA16" s="159">
        <f t="shared" si="6"/>
        <v>0</v>
      </c>
      <c r="AB16" s="160">
        <f t="shared" si="7"/>
        <v>0</v>
      </c>
      <c r="AC16" s="157" t="s">
        <v>10</v>
      </c>
      <c r="AD16" s="158"/>
      <c r="AE16" s="158"/>
      <c r="AF16" s="158"/>
      <c r="AG16" s="158"/>
      <c r="AH16" s="159">
        <f t="shared" si="8"/>
        <v>0</v>
      </c>
      <c r="AI16" s="160">
        <f t="shared" si="9"/>
        <v>0</v>
      </c>
      <c r="AJ16" s="157" t="s">
        <v>10</v>
      </c>
      <c r="AK16" s="158"/>
      <c r="AL16" s="158"/>
      <c r="AM16" s="158"/>
      <c r="AN16" s="158"/>
      <c r="AO16" s="159">
        <f t="shared" si="10"/>
        <v>0</v>
      </c>
      <c r="AP16" s="160">
        <f t="shared" si="11"/>
        <v>0</v>
      </c>
      <c r="AQ16" s="157" t="s">
        <v>10</v>
      </c>
      <c r="AR16" s="158"/>
      <c r="AS16" s="158"/>
      <c r="AT16" s="158"/>
      <c r="AU16" s="158"/>
      <c r="AV16" s="159">
        <f t="shared" si="12"/>
        <v>0</v>
      </c>
      <c r="AW16" s="160">
        <f t="shared" si="13"/>
        <v>0</v>
      </c>
      <c r="AX16" s="157" t="s">
        <v>10</v>
      </c>
      <c r="AY16" s="158"/>
      <c r="AZ16" s="158"/>
      <c r="BA16" s="158"/>
      <c r="BB16" s="158"/>
      <c r="BC16" s="159">
        <f t="shared" si="14"/>
        <v>0</v>
      </c>
      <c r="BD16" s="160">
        <f t="shared" si="15"/>
        <v>0</v>
      </c>
    </row>
    <row r="17" spans="1:56" x14ac:dyDescent="0.25">
      <c r="B17" s="161"/>
      <c r="C17" s="161"/>
      <c r="D17" s="161"/>
      <c r="E17" s="161"/>
      <c r="F17" s="157" t="s">
        <v>56</v>
      </c>
      <c r="G17" s="160">
        <f>SUM(G10:G16)</f>
        <v>52.5</v>
      </c>
      <c r="I17" s="161"/>
      <c r="J17" s="161"/>
      <c r="K17" s="161"/>
      <c r="L17" s="161"/>
      <c r="M17" s="157" t="s">
        <v>56</v>
      </c>
      <c r="N17" s="160">
        <f>SUM(N10:N16)</f>
        <v>0</v>
      </c>
      <c r="P17" s="161"/>
      <c r="Q17" s="161"/>
      <c r="R17" s="161"/>
      <c r="S17" s="161"/>
      <c r="T17" s="157" t="s">
        <v>56</v>
      </c>
      <c r="U17" s="160">
        <f>SUM(U10:U16)</f>
        <v>0</v>
      </c>
      <c r="W17" s="161"/>
      <c r="X17" s="161"/>
      <c r="Y17" s="161"/>
      <c r="Z17" s="161"/>
      <c r="AA17" s="157" t="s">
        <v>56</v>
      </c>
      <c r="AB17" s="160">
        <f>SUM(AB10:AB16)</f>
        <v>0</v>
      </c>
      <c r="AD17" s="161"/>
      <c r="AE17" s="161"/>
      <c r="AF17" s="161"/>
      <c r="AG17" s="161"/>
      <c r="AH17" s="157" t="s">
        <v>56</v>
      </c>
      <c r="AI17" s="160">
        <f>SUM(AI10:AI16)</f>
        <v>0</v>
      </c>
      <c r="AK17" s="161"/>
      <c r="AL17" s="161"/>
      <c r="AM17" s="161"/>
      <c r="AN17" s="161"/>
      <c r="AO17" s="157" t="s">
        <v>56</v>
      </c>
      <c r="AP17" s="160">
        <f>SUM(AP10:AP16)</f>
        <v>0</v>
      </c>
      <c r="AR17" s="161"/>
      <c r="AS17" s="161"/>
      <c r="AT17" s="161"/>
      <c r="AU17" s="161"/>
      <c r="AV17" s="157" t="s">
        <v>56</v>
      </c>
      <c r="AW17" s="160">
        <f>SUM(AW10:AW16)</f>
        <v>0</v>
      </c>
      <c r="AY17" s="161"/>
      <c r="AZ17" s="161"/>
      <c r="BA17" s="161"/>
      <c r="BB17" s="161"/>
      <c r="BC17" s="157" t="s">
        <v>56</v>
      </c>
      <c r="BD17" s="160">
        <f>SUM(BD10:BD16)</f>
        <v>0</v>
      </c>
    </row>
    <row r="19" spans="1:56" x14ac:dyDescent="0.25">
      <c r="B19" s="162"/>
      <c r="C19" s="163"/>
      <c r="D19" s="163"/>
      <c r="E19" s="163"/>
      <c r="F19" s="164" t="s">
        <v>11</v>
      </c>
      <c r="G19" s="165">
        <f>+IF(G17&gt;=45,45,G17)</f>
        <v>45</v>
      </c>
      <c r="I19" s="162"/>
      <c r="J19" s="163"/>
      <c r="K19" s="163"/>
      <c r="L19" s="163"/>
      <c r="M19" s="164" t="s">
        <v>11</v>
      </c>
      <c r="N19" s="165">
        <f>+IF(N17&gt;=45,45,N17)</f>
        <v>0</v>
      </c>
      <c r="P19" s="162"/>
      <c r="Q19" s="163"/>
      <c r="R19" s="163"/>
      <c r="S19" s="163"/>
      <c r="T19" s="164" t="s">
        <v>11</v>
      </c>
      <c r="U19" s="165">
        <f>+IF(U17&gt;=45,45,U17)</f>
        <v>0</v>
      </c>
      <c r="W19" s="162"/>
      <c r="X19" s="163"/>
      <c r="Y19" s="163"/>
      <c r="Z19" s="163"/>
      <c r="AA19" s="164" t="s">
        <v>11</v>
      </c>
      <c r="AB19" s="165">
        <f>+IF(AB17&gt;=45,45,AB17)</f>
        <v>0</v>
      </c>
      <c r="AD19" s="162"/>
      <c r="AE19" s="163"/>
      <c r="AF19" s="163"/>
      <c r="AG19" s="163"/>
      <c r="AH19" s="164" t="s">
        <v>11</v>
      </c>
      <c r="AI19" s="165">
        <f>+IF(AI17&gt;=45,45,AI17)</f>
        <v>0</v>
      </c>
      <c r="AK19" s="162"/>
      <c r="AL19" s="163"/>
      <c r="AM19" s="163"/>
      <c r="AN19" s="163"/>
      <c r="AO19" s="164" t="s">
        <v>11</v>
      </c>
      <c r="AP19" s="165">
        <f>+IF(AP17&gt;=45,45,AP17)</f>
        <v>0</v>
      </c>
      <c r="AR19" s="162"/>
      <c r="AS19" s="163"/>
      <c r="AT19" s="163"/>
      <c r="AU19" s="163"/>
      <c r="AV19" s="164" t="s">
        <v>11</v>
      </c>
      <c r="AW19" s="165">
        <f>+IF(AW17&gt;=45,45,AW17)</f>
        <v>0</v>
      </c>
      <c r="AY19" s="162"/>
      <c r="AZ19" s="163"/>
      <c r="BA19" s="163"/>
      <c r="BB19" s="163"/>
      <c r="BC19" s="164" t="s">
        <v>11</v>
      </c>
      <c r="BD19" s="165">
        <f>+IF(BD17&gt;=45,45,BD17)</f>
        <v>0</v>
      </c>
    </row>
    <row r="20" spans="1:56" x14ac:dyDescent="0.25">
      <c r="B20" s="166"/>
      <c r="C20" s="167"/>
      <c r="D20" s="167"/>
      <c r="E20" s="167"/>
      <c r="F20" s="168" t="s">
        <v>12</v>
      </c>
      <c r="G20" s="165">
        <f>+IF(G17&gt;45,G17-45,0)</f>
        <v>7.5</v>
      </c>
      <c r="I20" s="166"/>
      <c r="J20" s="167"/>
      <c r="K20" s="167"/>
      <c r="L20" s="167"/>
      <c r="M20" s="168" t="s">
        <v>12</v>
      </c>
      <c r="N20" s="165">
        <f>+IF(N17&gt;45,N17-45,0)</f>
        <v>0</v>
      </c>
      <c r="P20" s="166"/>
      <c r="Q20" s="167"/>
      <c r="R20" s="167"/>
      <c r="S20" s="167"/>
      <c r="T20" s="168" t="s">
        <v>12</v>
      </c>
      <c r="U20" s="165">
        <f>+IF(U17&gt;45,U17-45,0)</f>
        <v>0</v>
      </c>
      <c r="W20" s="166"/>
      <c r="X20" s="167"/>
      <c r="Y20" s="167"/>
      <c r="Z20" s="167"/>
      <c r="AA20" s="168" t="s">
        <v>12</v>
      </c>
      <c r="AB20" s="165">
        <f>+IF(AB17&gt;45,AB17-45,0)</f>
        <v>0</v>
      </c>
      <c r="AD20" s="166"/>
      <c r="AE20" s="167"/>
      <c r="AF20" s="167"/>
      <c r="AG20" s="167"/>
      <c r="AH20" s="168" t="s">
        <v>12</v>
      </c>
      <c r="AI20" s="165">
        <f>+IF(AI17&gt;45,AI17-45,0)</f>
        <v>0</v>
      </c>
      <c r="AK20" s="166"/>
      <c r="AL20" s="167"/>
      <c r="AM20" s="167"/>
      <c r="AN20" s="167"/>
      <c r="AO20" s="168" t="s">
        <v>12</v>
      </c>
      <c r="AP20" s="165">
        <f>+IF(AP17&gt;45,AP17-45,0)</f>
        <v>0</v>
      </c>
      <c r="AR20" s="166"/>
      <c r="AS20" s="167"/>
      <c r="AT20" s="167"/>
      <c r="AU20" s="167"/>
      <c r="AV20" s="168" t="s">
        <v>12</v>
      </c>
      <c r="AW20" s="165">
        <f>+IF(AW17&gt;45,AW17-45,0)</f>
        <v>0</v>
      </c>
      <c r="AY20" s="166"/>
      <c r="AZ20" s="167"/>
      <c r="BA20" s="167"/>
      <c r="BB20" s="167"/>
      <c r="BC20" s="168" t="s">
        <v>12</v>
      </c>
      <c r="BD20" s="165">
        <f>+IF(BD17&gt;45,BD17-45,0)</f>
        <v>0</v>
      </c>
    </row>
    <row r="22" spans="1:56" x14ac:dyDescent="0.25">
      <c r="B22" s="162"/>
      <c r="C22" s="163"/>
      <c r="D22" s="163"/>
      <c r="E22" s="163"/>
      <c r="F22" s="169" t="s">
        <v>13</v>
      </c>
      <c r="G22" s="170">
        <v>52</v>
      </c>
      <c r="I22" s="162"/>
      <c r="J22" s="163"/>
      <c r="K22" s="163"/>
      <c r="L22" s="163"/>
      <c r="M22" s="169" t="s">
        <v>13</v>
      </c>
      <c r="N22" s="170"/>
      <c r="P22" s="162"/>
      <c r="Q22" s="163"/>
      <c r="R22" s="163"/>
      <c r="S22" s="163"/>
      <c r="T22" s="169" t="s">
        <v>13</v>
      </c>
      <c r="U22" s="170"/>
      <c r="W22" s="162"/>
      <c r="X22" s="163"/>
      <c r="Y22" s="163"/>
      <c r="Z22" s="163"/>
      <c r="AA22" s="169" t="s">
        <v>13</v>
      </c>
      <c r="AB22" s="170"/>
      <c r="AD22" s="162"/>
      <c r="AE22" s="163"/>
      <c r="AF22" s="163"/>
      <c r="AG22" s="163"/>
      <c r="AH22" s="169" t="s">
        <v>13</v>
      </c>
      <c r="AI22" s="170"/>
      <c r="AK22" s="162"/>
      <c r="AL22" s="163"/>
      <c r="AM22" s="163"/>
      <c r="AN22" s="163"/>
      <c r="AO22" s="169" t="s">
        <v>13</v>
      </c>
      <c r="AP22" s="170"/>
      <c r="AR22" s="162"/>
      <c r="AS22" s="163"/>
      <c r="AT22" s="163"/>
      <c r="AU22" s="163"/>
      <c r="AV22" s="169" t="s">
        <v>13</v>
      </c>
      <c r="AW22" s="170"/>
      <c r="AY22" s="162"/>
      <c r="AZ22" s="163"/>
      <c r="BA22" s="163"/>
      <c r="BB22" s="163"/>
      <c r="BC22" s="169" t="s">
        <v>13</v>
      </c>
      <c r="BD22" s="170"/>
    </row>
    <row r="24" spans="1:56" x14ac:dyDescent="0.25">
      <c r="B24" s="162"/>
      <c r="C24" s="163"/>
      <c r="D24" s="163"/>
      <c r="E24" s="163"/>
      <c r="F24" s="164" t="s">
        <v>14</v>
      </c>
      <c r="G24" s="165">
        <f>+G19*G22</f>
        <v>2340</v>
      </c>
      <c r="I24" s="162"/>
      <c r="J24" s="163"/>
      <c r="K24" s="163"/>
      <c r="L24" s="163"/>
      <c r="M24" s="164" t="s">
        <v>14</v>
      </c>
      <c r="N24" s="165">
        <f>+N19*N22</f>
        <v>0</v>
      </c>
      <c r="P24" s="162"/>
      <c r="Q24" s="163"/>
      <c r="R24" s="163"/>
      <c r="S24" s="163"/>
      <c r="T24" s="164" t="s">
        <v>14</v>
      </c>
      <c r="U24" s="165">
        <f>+U19*U22</f>
        <v>0</v>
      </c>
      <c r="W24" s="162"/>
      <c r="X24" s="163"/>
      <c r="Y24" s="163"/>
      <c r="Z24" s="163"/>
      <c r="AA24" s="164" t="s">
        <v>14</v>
      </c>
      <c r="AB24" s="165">
        <f>+AB19*AB22</f>
        <v>0</v>
      </c>
      <c r="AD24" s="162"/>
      <c r="AE24" s="163"/>
      <c r="AF24" s="163"/>
      <c r="AG24" s="163"/>
      <c r="AH24" s="164" t="s">
        <v>14</v>
      </c>
      <c r="AI24" s="165">
        <f>+AI19*AI22</f>
        <v>0</v>
      </c>
      <c r="AK24" s="162"/>
      <c r="AL24" s="163"/>
      <c r="AM24" s="163"/>
      <c r="AN24" s="163"/>
      <c r="AO24" s="164" t="s">
        <v>14</v>
      </c>
      <c r="AP24" s="165">
        <f>+AP19*AP22</f>
        <v>0</v>
      </c>
      <c r="AR24" s="162"/>
      <c r="AS24" s="163"/>
      <c r="AT24" s="163"/>
      <c r="AU24" s="163"/>
      <c r="AV24" s="164" t="s">
        <v>14</v>
      </c>
      <c r="AW24" s="165">
        <f>+AW19*AW22</f>
        <v>0</v>
      </c>
      <c r="AY24" s="162"/>
      <c r="AZ24" s="163"/>
      <c r="BA24" s="163"/>
      <c r="BB24" s="163"/>
      <c r="BC24" s="164" t="s">
        <v>14</v>
      </c>
      <c r="BD24" s="165">
        <f>+BD19*BD22</f>
        <v>0</v>
      </c>
    </row>
    <row r="25" spans="1:56" x14ac:dyDescent="0.25">
      <c r="B25" s="166"/>
      <c r="C25" s="167"/>
      <c r="D25" s="167"/>
      <c r="E25" s="167"/>
      <c r="F25" s="168" t="s">
        <v>15</v>
      </c>
      <c r="G25" s="165">
        <f>+G20*G22</f>
        <v>390</v>
      </c>
      <c r="I25" s="166"/>
      <c r="J25" s="167"/>
      <c r="K25" s="167"/>
      <c r="L25" s="167"/>
      <c r="M25" s="168" t="s">
        <v>15</v>
      </c>
      <c r="N25" s="165">
        <f>+N20*N22</f>
        <v>0</v>
      </c>
      <c r="P25" s="166"/>
      <c r="Q25" s="167"/>
      <c r="R25" s="167"/>
      <c r="S25" s="167"/>
      <c r="T25" s="168" t="s">
        <v>15</v>
      </c>
      <c r="U25" s="165">
        <f>+U20*U22</f>
        <v>0</v>
      </c>
      <c r="W25" s="166"/>
      <c r="X25" s="167"/>
      <c r="Y25" s="167"/>
      <c r="Z25" s="167"/>
      <c r="AA25" s="168" t="s">
        <v>15</v>
      </c>
      <c r="AB25" s="165">
        <f>+AB20*AB22</f>
        <v>0</v>
      </c>
      <c r="AD25" s="166"/>
      <c r="AE25" s="167"/>
      <c r="AF25" s="167"/>
      <c r="AG25" s="167"/>
      <c r="AH25" s="168" t="s">
        <v>15</v>
      </c>
      <c r="AI25" s="165">
        <f>+AI20*AI22</f>
        <v>0</v>
      </c>
      <c r="AK25" s="166"/>
      <c r="AL25" s="167"/>
      <c r="AM25" s="167"/>
      <c r="AN25" s="167"/>
      <c r="AO25" s="168" t="s">
        <v>15</v>
      </c>
      <c r="AP25" s="165">
        <f>+AP20*AP22</f>
        <v>0</v>
      </c>
      <c r="AR25" s="166"/>
      <c r="AS25" s="167"/>
      <c r="AT25" s="167"/>
      <c r="AU25" s="167"/>
      <c r="AV25" s="168" t="s">
        <v>15</v>
      </c>
      <c r="AW25" s="165">
        <f>+AW20*AW22</f>
        <v>0</v>
      </c>
      <c r="AY25" s="166"/>
      <c r="AZ25" s="167"/>
      <c r="BA25" s="167"/>
      <c r="BB25" s="167"/>
      <c r="BC25" s="168" t="s">
        <v>15</v>
      </c>
      <c r="BD25" s="165">
        <f>+BD20*BD22</f>
        <v>0</v>
      </c>
    </row>
    <row r="27" spans="1:56" x14ac:dyDescent="0.25">
      <c r="B27" s="162"/>
      <c r="C27" s="163"/>
      <c r="D27" s="163"/>
      <c r="E27" s="163"/>
      <c r="F27" s="164" t="s">
        <v>48</v>
      </c>
      <c r="G27" s="171">
        <f>+COUNTIF(G10:G16,"&gt;0,001")*G22</f>
        <v>260</v>
      </c>
      <c r="I27" s="162"/>
      <c r="J27" s="163"/>
      <c r="K27" s="163"/>
      <c r="L27" s="163"/>
      <c r="M27" s="164" t="s">
        <v>48</v>
      </c>
      <c r="N27" s="171">
        <f>+COUNTIF(N10:N16,"&gt;0,001")*N22</f>
        <v>0</v>
      </c>
      <c r="P27" s="162"/>
      <c r="Q27" s="163"/>
      <c r="R27" s="163"/>
      <c r="S27" s="163"/>
      <c r="T27" s="164" t="s">
        <v>48</v>
      </c>
      <c r="U27" s="171">
        <f>+COUNTIF(U10:U16,"&gt;0,001")*U22</f>
        <v>0</v>
      </c>
      <c r="W27" s="162"/>
      <c r="X27" s="163"/>
      <c r="Y27" s="163"/>
      <c r="Z27" s="163"/>
      <c r="AA27" s="164" t="s">
        <v>48</v>
      </c>
      <c r="AB27" s="171">
        <f>+COUNTIF(AB10:AB16,"&gt;0,001")*AB22</f>
        <v>0</v>
      </c>
      <c r="AD27" s="162"/>
      <c r="AE27" s="163"/>
      <c r="AF27" s="163"/>
      <c r="AG27" s="163"/>
      <c r="AH27" s="164" t="s">
        <v>48</v>
      </c>
      <c r="AI27" s="171">
        <f>+COUNTIF(AI10:AI16,"&gt;0,001")*AI22</f>
        <v>0</v>
      </c>
      <c r="AK27" s="162"/>
      <c r="AL27" s="163"/>
      <c r="AM27" s="163"/>
      <c r="AN27" s="163"/>
      <c r="AO27" s="164" t="s">
        <v>48</v>
      </c>
      <c r="AP27" s="171">
        <f>+COUNTIF(AP10:AP16,"&gt;0,001")*AP22</f>
        <v>0</v>
      </c>
      <c r="AR27" s="162"/>
      <c r="AS27" s="163"/>
      <c r="AT27" s="163"/>
      <c r="AU27" s="163"/>
      <c r="AV27" s="164" t="s">
        <v>48</v>
      </c>
      <c r="AW27" s="171">
        <f>+COUNTIF(AW10:AW16,"&gt;0,001")*AW22</f>
        <v>0</v>
      </c>
      <c r="AY27" s="162"/>
      <c r="AZ27" s="163"/>
      <c r="BA27" s="163"/>
      <c r="BB27" s="163"/>
      <c r="BC27" s="164" t="s">
        <v>48</v>
      </c>
      <c r="BD27" s="171">
        <f>+COUNTIF(BD10:BD16,"&gt;0,001")*BD22</f>
        <v>0</v>
      </c>
    </row>
    <row r="28" spans="1:56" x14ac:dyDescent="0.25">
      <c r="F28" s="63"/>
      <c r="G28" s="172"/>
      <c r="M28" s="63"/>
      <c r="N28" s="172"/>
      <c r="T28" s="63"/>
      <c r="U28" s="172"/>
      <c r="AA28" s="63"/>
      <c r="AB28" s="172"/>
      <c r="AH28" s="63"/>
      <c r="AI28" s="172"/>
      <c r="AO28" s="63"/>
      <c r="AP28" s="172"/>
      <c r="AV28" s="63"/>
      <c r="AW28" s="172"/>
      <c r="BC28" s="63"/>
      <c r="BD28" s="172"/>
    </row>
    <row r="30" spans="1:56" ht="18.75" x14ac:dyDescent="0.3">
      <c r="A30" s="220" t="s">
        <v>24</v>
      </c>
      <c r="B30" s="221"/>
      <c r="C30" s="221"/>
      <c r="D30" s="221"/>
      <c r="E30" s="221"/>
      <c r="F30" s="221"/>
      <c r="G30" s="222"/>
      <c r="M30" s="63" t="s">
        <v>86</v>
      </c>
      <c r="N30" s="173" t="s">
        <v>71</v>
      </c>
    </row>
    <row r="32" spans="1:56" x14ac:dyDescent="0.25">
      <c r="F32" s="63" t="s">
        <v>13</v>
      </c>
      <c r="G32" s="174">
        <f>+G22+N22+U22+AB22+AI22+AP22+AW22+BD22</f>
        <v>52</v>
      </c>
      <c r="M32" s="63" t="s">
        <v>26</v>
      </c>
      <c r="N32" s="57">
        <f ca="1">+IF(N30="NON",VLOOKUP(D5,base,2,TRUE),VLOOKUP(D5,base,3,TRUE))</f>
        <v>0.88200000000000001</v>
      </c>
    </row>
    <row r="34" spans="1:14" x14ac:dyDescent="0.25">
      <c r="F34" s="63" t="s">
        <v>25</v>
      </c>
      <c r="G34" s="93" t="str">
        <f>+IF(G32=52,"COMPLETE", IF(G32&lt;47,"INCOMPLETE","ERREUR"))</f>
        <v>COMPLETE</v>
      </c>
    </row>
    <row r="36" spans="1:14" x14ac:dyDescent="0.25">
      <c r="F36" s="61" t="s">
        <v>57</v>
      </c>
      <c r="G36" s="93">
        <f>+IF(G32=52,52, IF(G32&lt;47,G32,"ERREUR"))</f>
        <v>52</v>
      </c>
      <c r="M36" s="63" t="s">
        <v>29</v>
      </c>
      <c r="N36" s="175">
        <v>0.25</v>
      </c>
    </row>
    <row r="38" spans="1:14" x14ac:dyDescent="0.25">
      <c r="F38" s="63" t="s">
        <v>35</v>
      </c>
      <c r="G38" s="176">
        <v>5</v>
      </c>
      <c r="M38" s="63" t="s">
        <v>31</v>
      </c>
      <c r="N38" s="177">
        <f>+G38*(1+N36)</f>
        <v>6.25</v>
      </c>
    </row>
    <row r="39" spans="1:14" x14ac:dyDescent="0.25">
      <c r="F39" s="63"/>
    </row>
    <row r="40" spans="1:14" x14ac:dyDescent="0.25">
      <c r="F40" s="63" t="s">
        <v>27</v>
      </c>
      <c r="G40" s="177">
        <f ca="1">+G38*N32</f>
        <v>4.41</v>
      </c>
      <c r="M40" s="63" t="s">
        <v>36</v>
      </c>
      <c r="N40" s="178">
        <v>4</v>
      </c>
    </row>
    <row r="41" spans="1:14" x14ac:dyDescent="0.25">
      <c r="F41" s="63"/>
      <c r="G41" s="177"/>
    </row>
    <row r="42" spans="1:14" x14ac:dyDescent="0.25">
      <c r="F42" s="63" t="s">
        <v>14</v>
      </c>
      <c r="G42" s="172">
        <f>(G24+N24+U24+AB24+AI24+AP24+AW24+BD24)*G36/G32</f>
        <v>2340</v>
      </c>
      <c r="M42" s="63" t="s">
        <v>62</v>
      </c>
      <c r="N42" s="178">
        <v>3.5</v>
      </c>
    </row>
    <row r="43" spans="1:14" x14ac:dyDescent="0.25">
      <c r="F43" s="63" t="s">
        <v>15</v>
      </c>
      <c r="G43" s="172">
        <f>(G25+N25+U25+AB25+AI25+AP25+AW25+BD25)*G36/G32</f>
        <v>390</v>
      </c>
    </row>
    <row r="44" spans="1:14" x14ac:dyDescent="0.25">
      <c r="F44" s="63"/>
      <c r="G44" s="172"/>
      <c r="M44" s="63" t="s">
        <v>63</v>
      </c>
      <c r="N44" s="178">
        <v>1</v>
      </c>
    </row>
    <row r="45" spans="1:14" x14ac:dyDescent="0.25">
      <c r="F45" s="63" t="s">
        <v>48</v>
      </c>
      <c r="G45" s="179">
        <f>+G27+N27+U27+AB27+AI27+AP27+AW27+BD27</f>
        <v>260</v>
      </c>
    </row>
    <row r="46" spans="1:14" x14ac:dyDescent="0.25">
      <c r="F46" s="63"/>
      <c r="G46" s="177"/>
      <c r="M46" s="63" t="s">
        <v>61</v>
      </c>
      <c r="N46" s="178">
        <v>2</v>
      </c>
    </row>
    <row r="47" spans="1:14" ht="18.75" x14ac:dyDescent="0.3">
      <c r="A47" s="220" t="s">
        <v>28</v>
      </c>
      <c r="B47" s="221"/>
      <c r="C47" s="221"/>
      <c r="D47" s="221"/>
      <c r="E47" s="221"/>
      <c r="F47" s="221"/>
      <c r="G47" s="222"/>
    </row>
    <row r="48" spans="1:14" ht="15.75" customHeight="1" x14ac:dyDescent="0.3">
      <c r="A48" s="180"/>
      <c r="B48" s="180"/>
      <c r="C48" s="180"/>
      <c r="D48" s="180"/>
      <c r="E48" s="180"/>
      <c r="F48" s="180"/>
      <c r="G48" s="180"/>
    </row>
    <row r="49" spans="1:7" ht="15.75" customHeight="1" x14ac:dyDescent="0.3">
      <c r="A49" s="180"/>
      <c r="F49" s="63" t="s">
        <v>49</v>
      </c>
      <c r="G49" s="179">
        <f>+G45/12</f>
        <v>21.666666666666668</v>
      </c>
    </row>
    <row r="50" spans="1:7" ht="15.75" customHeight="1" x14ac:dyDescent="0.25"/>
    <row r="51" spans="1:7" x14ac:dyDescent="0.25">
      <c r="F51" s="61" t="s">
        <v>23</v>
      </c>
      <c r="G51" s="181">
        <f>+G42/12</f>
        <v>195</v>
      </c>
    </row>
    <row r="52" spans="1:7" x14ac:dyDescent="0.25">
      <c r="F52" s="61" t="s">
        <v>12</v>
      </c>
      <c r="G52" s="181">
        <f>+G43/12</f>
        <v>32.5</v>
      </c>
    </row>
    <row r="53" spans="1:7" x14ac:dyDescent="0.25">
      <c r="F53" s="63"/>
      <c r="G53" s="182">
        <f>+G52+G51</f>
        <v>227.5</v>
      </c>
    </row>
    <row r="55" spans="1:7" x14ac:dyDescent="0.25">
      <c r="E55" s="93"/>
      <c r="F55" s="61" t="s">
        <v>30</v>
      </c>
      <c r="G55" s="147">
        <f>+(G51*G38)+(G52*N38)</f>
        <v>1178.125</v>
      </c>
    </row>
    <row r="57" spans="1:7" x14ac:dyDescent="0.25">
      <c r="F57" s="63"/>
      <c r="G57" s="183"/>
    </row>
    <row r="59" spans="1:7" x14ac:dyDescent="0.25">
      <c r="F59" s="63"/>
      <c r="G59" s="183"/>
    </row>
    <row r="61" spans="1:7" x14ac:dyDescent="0.25">
      <c r="F61" s="61"/>
      <c r="G61" s="147"/>
    </row>
  </sheetData>
  <sheetProtection algorithmName="SHA-512" hashValue="DCGU2rwpchprbG3InpSywGYDwFUrTFGZ/180s9xPeAz9J/Xv4T/0Fp73EpjsOdauTKYLHITqyyQe8oc7C+ttLQ==" saltValue="DcUMYGSXd55OcBic9KvANA==" spinCount="100000" sheet="1" objects="1" scenarios="1" formatCells="0" formatColumns="0" formatRows="0" insertColumns="0" insertRows="0" insertHyperlinks="0" sort="0" autoFilter="0" pivotTables="0"/>
  <mergeCells count="12">
    <mergeCell ref="AC8:AI8"/>
    <mergeCell ref="AJ8:AP8"/>
    <mergeCell ref="AQ8:AW8"/>
    <mergeCell ref="AX8:BD8"/>
    <mergeCell ref="A1:N1"/>
    <mergeCell ref="D3:F3"/>
    <mergeCell ref="A47:G47"/>
    <mergeCell ref="A8:G8"/>
    <mergeCell ref="H8:N8"/>
    <mergeCell ref="O8:U8"/>
    <mergeCell ref="V8:AB8"/>
    <mergeCell ref="A30:G30"/>
  </mergeCells>
  <conditionalFormatting sqref="B10:E16">
    <cfRule type="notContainsBlanks" dxfId="112" priority="37">
      <formula>LEN(TRIM(B10))&gt;0</formula>
    </cfRule>
  </conditionalFormatting>
  <conditionalFormatting sqref="D3:F3">
    <cfRule type="notContainsBlanks" dxfId="111" priority="38">
      <formula>LEN(TRIM(D3))&gt;0</formula>
    </cfRule>
  </conditionalFormatting>
  <conditionalFormatting sqref="F43 F52">
    <cfRule type="expression" dxfId="110" priority="5">
      <formula>$G$43=0</formula>
    </cfRule>
  </conditionalFormatting>
  <conditionalFormatting sqref="G22">
    <cfRule type="notContainsBlanks" dxfId="109" priority="28">
      <formula>LEN(TRIM(G22))&gt;0</formula>
    </cfRule>
    <cfRule type="cellIs" dxfId="108" priority="29" operator="between">
      <formula>47</formula>
      <formula>51</formula>
    </cfRule>
  </conditionalFormatting>
  <conditionalFormatting sqref="G32">
    <cfRule type="cellIs" dxfId="107" priority="6" operator="greaterThanOrEqual">
      <formula>52.0000001</formula>
    </cfRule>
    <cfRule type="cellIs" dxfId="106" priority="7" operator="between">
      <formula>46.9999999999</formula>
      <formula>51.99999</formula>
    </cfRule>
  </conditionalFormatting>
  <conditionalFormatting sqref="G38">
    <cfRule type="notContainsBlanks" dxfId="105" priority="1">
      <formula>LEN(TRIM(G38))&gt;0</formula>
    </cfRule>
  </conditionalFormatting>
  <conditionalFormatting sqref="G43">
    <cfRule type="cellIs" dxfId="104" priority="4" operator="equal">
      <formula>0</formula>
    </cfRule>
  </conditionalFormatting>
  <conditionalFormatting sqref="G52">
    <cfRule type="cellIs" dxfId="103" priority="3" operator="equal">
      <formula>0</formula>
    </cfRule>
  </conditionalFormatting>
  <conditionalFormatting sqref="G53">
    <cfRule type="expression" dxfId="102" priority="2">
      <formula>$G$52=0</formula>
    </cfRule>
  </conditionalFormatting>
  <conditionalFormatting sqref="I10:L16">
    <cfRule type="notContainsBlanks" dxfId="101" priority="36">
      <formula>LEN(TRIM(I10))&gt;0</formula>
    </cfRule>
  </conditionalFormatting>
  <conditionalFormatting sqref="N22">
    <cfRule type="notContainsBlanks" dxfId="100" priority="26">
      <formula>LEN(TRIM(N22))&gt;0</formula>
    </cfRule>
    <cfRule type="cellIs" dxfId="99" priority="27" operator="between">
      <formula>47</formula>
      <formula>51</formula>
    </cfRule>
  </conditionalFormatting>
  <conditionalFormatting sqref="N30">
    <cfRule type="notContainsBlanks" dxfId="98" priority="15">
      <formula>LEN(TRIM(N30))&gt;0</formula>
    </cfRule>
  </conditionalFormatting>
  <conditionalFormatting sqref="N36">
    <cfRule type="notContainsBlanks" dxfId="97" priority="14">
      <formula>LEN(TRIM(N36))&gt;0</formula>
    </cfRule>
  </conditionalFormatting>
  <conditionalFormatting sqref="N40">
    <cfRule type="notContainsBlanks" dxfId="96" priority="13">
      <formula>LEN(TRIM(N40))&gt;0</formula>
    </cfRule>
  </conditionalFormatting>
  <conditionalFormatting sqref="N42">
    <cfRule type="notContainsBlanks" dxfId="95" priority="12">
      <formula>LEN(TRIM(N42))&gt;0</formula>
    </cfRule>
  </conditionalFormatting>
  <conditionalFormatting sqref="N44">
    <cfRule type="notContainsBlanks" dxfId="94" priority="11">
      <formula>LEN(TRIM(N44))&gt;0</formula>
    </cfRule>
  </conditionalFormatting>
  <conditionalFormatting sqref="N46">
    <cfRule type="notContainsBlanks" dxfId="93" priority="10">
      <formula>LEN(TRIM(N46))&gt;0</formula>
    </cfRule>
  </conditionalFormatting>
  <conditionalFormatting sqref="P10:S16">
    <cfRule type="notContainsBlanks" dxfId="92" priority="35">
      <formula>LEN(TRIM(P10))&gt;0</formula>
    </cfRule>
  </conditionalFormatting>
  <conditionalFormatting sqref="U22">
    <cfRule type="notContainsBlanks" dxfId="91" priority="24">
      <formula>LEN(TRIM(U22))&gt;0</formula>
    </cfRule>
    <cfRule type="cellIs" dxfId="90" priority="25" operator="between">
      <formula>47</formula>
      <formula>51</formula>
    </cfRule>
  </conditionalFormatting>
  <conditionalFormatting sqref="W10:Z16">
    <cfRule type="notContainsBlanks" dxfId="89" priority="34">
      <formula>LEN(TRIM(W10))&gt;0</formula>
    </cfRule>
  </conditionalFormatting>
  <conditionalFormatting sqref="AB22">
    <cfRule type="notContainsBlanks" dxfId="88" priority="22">
      <formula>LEN(TRIM(AB22))&gt;0</formula>
    </cfRule>
    <cfRule type="cellIs" dxfId="87" priority="23" operator="between">
      <formula>47</formula>
      <formula>51</formula>
    </cfRule>
  </conditionalFormatting>
  <conditionalFormatting sqref="AD10:AG16">
    <cfRule type="notContainsBlanks" dxfId="86" priority="33">
      <formula>LEN(TRIM(AD10))&gt;0</formula>
    </cfRule>
  </conditionalFormatting>
  <conditionalFormatting sqref="AI22">
    <cfRule type="notContainsBlanks" dxfId="85" priority="20">
      <formula>LEN(TRIM(AI22))&gt;0</formula>
    </cfRule>
    <cfRule type="cellIs" dxfId="84" priority="21" operator="between">
      <formula>47</formula>
      <formula>51</formula>
    </cfRule>
  </conditionalFormatting>
  <conditionalFormatting sqref="AK10:AN16">
    <cfRule type="notContainsBlanks" dxfId="83" priority="32">
      <formula>LEN(TRIM(AK10))&gt;0</formula>
    </cfRule>
  </conditionalFormatting>
  <conditionalFormatting sqref="AP22">
    <cfRule type="notContainsBlanks" dxfId="82" priority="18">
      <formula>LEN(TRIM(AP22))&gt;0</formula>
    </cfRule>
    <cfRule type="cellIs" dxfId="81" priority="19" operator="between">
      <formula>47</formula>
      <formula>51</formula>
    </cfRule>
  </conditionalFormatting>
  <conditionalFormatting sqref="AR10:AU16">
    <cfRule type="notContainsBlanks" dxfId="80" priority="31">
      <formula>LEN(TRIM(AR10))&gt;0</formula>
    </cfRule>
  </conditionalFormatting>
  <conditionalFormatting sqref="AW22">
    <cfRule type="notContainsBlanks" dxfId="79" priority="16">
      <formula>LEN(TRIM(AW22))&gt;0</formula>
    </cfRule>
    <cfRule type="cellIs" dxfId="78" priority="17" operator="between">
      <formula>47</formula>
      <formula>51</formula>
    </cfRule>
  </conditionalFormatting>
  <conditionalFormatting sqref="AY10:BB16">
    <cfRule type="notContainsBlanks" dxfId="77" priority="30">
      <formula>LEN(TRIM(AY10))&gt;0</formula>
    </cfRule>
  </conditionalFormatting>
  <conditionalFormatting sqref="BD22">
    <cfRule type="notContainsBlanks" dxfId="76" priority="8">
      <formula>LEN(TRIM(BD22))&gt;0</formula>
    </cfRule>
    <cfRule type="cellIs" dxfId="75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761E88B6-1AF1-47DA-BA0C-D337A3813102}"/>
    <dataValidation type="list" allowBlank="1" showInputMessage="1" showErrorMessage="1" sqref="N30" xr:uid="{43DF1402-A76A-4A78-84AD-C4E3CDE56E48}">
      <formula1>"OUI,NON"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BD61"/>
  <sheetViews>
    <sheetView showGridLines="0" zoomScale="90" zoomScaleNormal="90" workbookViewId="0">
      <selection activeCell="B6" sqref="B6"/>
    </sheetView>
  </sheetViews>
  <sheetFormatPr baseColWidth="10" defaultRowHeight="15" x14ac:dyDescent="0.25"/>
  <cols>
    <col min="1" max="2" width="12.42578125" style="60" customWidth="1"/>
    <col min="3" max="3" width="15" style="60" customWidth="1"/>
    <col min="4" max="4" width="12.42578125" style="60" customWidth="1"/>
    <col min="5" max="5" width="14.5703125" style="60" customWidth="1"/>
    <col min="6" max="56" width="12.42578125" style="60" customWidth="1"/>
    <col min="57" max="16384" width="11.42578125" style="60"/>
  </cols>
  <sheetData>
    <row r="1" spans="1:56" ht="23.25" x14ac:dyDescent="0.35">
      <c r="A1" s="223" t="s">
        <v>33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3" spans="1:56" x14ac:dyDescent="0.25">
      <c r="C3" s="63" t="s">
        <v>34</v>
      </c>
      <c r="D3" s="224" t="s">
        <v>165</v>
      </c>
      <c r="E3" s="224"/>
      <c r="F3" s="224"/>
      <c r="I3" s="63"/>
      <c r="M3" s="121" t="s">
        <v>146</v>
      </c>
    </row>
    <row r="5" spans="1:56" ht="18.75" x14ac:dyDescent="0.3">
      <c r="A5" s="153" t="s">
        <v>32</v>
      </c>
      <c r="C5" s="154" t="s">
        <v>105</v>
      </c>
      <c r="D5" s="67">
        <f ca="1">+IF(D6="",NOW(),D6)</f>
        <v>46043.616195601855</v>
      </c>
      <c r="E5" s="74"/>
      <c r="F5" s="74"/>
    </row>
    <row r="6" spans="1:56" ht="18.75" x14ac:dyDescent="0.3">
      <c r="A6" s="153"/>
      <c r="C6" s="63" t="s">
        <v>106</v>
      </c>
      <c r="D6" s="155"/>
      <c r="E6" s="74"/>
      <c r="F6" s="74"/>
    </row>
    <row r="8" spans="1:56" ht="18.75" x14ac:dyDescent="0.3">
      <c r="A8" s="220" t="s">
        <v>1</v>
      </c>
      <c r="B8" s="221"/>
      <c r="C8" s="221"/>
      <c r="D8" s="221"/>
      <c r="E8" s="221"/>
      <c r="F8" s="221"/>
      <c r="G8" s="222"/>
      <c r="H8" s="220" t="s">
        <v>16</v>
      </c>
      <c r="I8" s="221"/>
      <c r="J8" s="221"/>
      <c r="K8" s="221"/>
      <c r="L8" s="221"/>
      <c r="M8" s="221"/>
      <c r="N8" s="222"/>
      <c r="O8" s="220" t="s">
        <v>17</v>
      </c>
      <c r="P8" s="221"/>
      <c r="Q8" s="221"/>
      <c r="R8" s="221"/>
      <c r="S8" s="221"/>
      <c r="T8" s="221"/>
      <c r="U8" s="222"/>
      <c r="V8" s="220" t="s">
        <v>18</v>
      </c>
      <c r="W8" s="221"/>
      <c r="X8" s="221"/>
      <c r="Y8" s="221"/>
      <c r="Z8" s="221"/>
      <c r="AA8" s="221"/>
      <c r="AB8" s="222"/>
      <c r="AC8" s="220" t="s">
        <v>19</v>
      </c>
      <c r="AD8" s="221"/>
      <c r="AE8" s="221"/>
      <c r="AF8" s="221"/>
      <c r="AG8" s="221"/>
      <c r="AH8" s="221"/>
      <c r="AI8" s="222"/>
      <c r="AJ8" s="220" t="s">
        <v>20</v>
      </c>
      <c r="AK8" s="221"/>
      <c r="AL8" s="221"/>
      <c r="AM8" s="221"/>
      <c r="AN8" s="221"/>
      <c r="AO8" s="221"/>
      <c r="AP8" s="222"/>
      <c r="AQ8" s="220" t="s">
        <v>21</v>
      </c>
      <c r="AR8" s="221"/>
      <c r="AS8" s="221"/>
      <c r="AT8" s="221"/>
      <c r="AU8" s="221"/>
      <c r="AV8" s="221"/>
      <c r="AW8" s="222"/>
      <c r="AX8" s="220" t="s">
        <v>22</v>
      </c>
      <c r="AY8" s="221"/>
      <c r="AZ8" s="221"/>
      <c r="BA8" s="221"/>
      <c r="BB8" s="221"/>
      <c r="BC8" s="221"/>
      <c r="BD8" s="222"/>
    </row>
    <row r="9" spans="1:56" ht="45" x14ac:dyDescent="0.25">
      <c r="A9" s="156" t="s">
        <v>0</v>
      </c>
      <c r="B9" s="156" t="s">
        <v>66</v>
      </c>
      <c r="C9" s="156" t="s">
        <v>67</v>
      </c>
      <c r="D9" s="156" t="s">
        <v>68</v>
      </c>
      <c r="E9" s="156" t="s">
        <v>69</v>
      </c>
      <c r="F9" s="156" t="s">
        <v>2</v>
      </c>
      <c r="G9" s="156" t="s">
        <v>3</v>
      </c>
      <c r="H9" s="156" t="s">
        <v>0</v>
      </c>
      <c r="I9" s="156" t="s">
        <v>66</v>
      </c>
      <c r="J9" s="156" t="s">
        <v>67</v>
      </c>
      <c r="K9" s="156" t="s">
        <v>68</v>
      </c>
      <c r="L9" s="156" t="s">
        <v>69</v>
      </c>
      <c r="M9" s="156" t="s">
        <v>2</v>
      </c>
      <c r="N9" s="156" t="s">
        <v>3</v>
      </c>
      <c r="O9" s="156" t="s">
        <v>0</v>
      </c>
      <c r="P9" s="156" t="s">
        <v>66</v>
      </c>
      <c r="Q9" s="156" t="s">
        <v>67</v>
      </c>
      <c r="R9" s="156" t="s">
        <v>68</v>
      </c>
      <c r="S9" s="156" t="s">
        <v>69</v>
      </c>
      <c r="T9" s="156" t="s">
        <v>2</v>
      </c>
      <c r="U9" s="156" t="s">
        <v>3</v>
      </c>
      <c r="V9" s="156" t="s">
        <v>0</v>
      </c>
      <c r="W9" s="156" t="s">
        <v>66</v>
      </c>
      <c r="X9" s="156" t="s">
        <v>67</v>
      </c>
      <c r="Y9" s="156" t="s">
        <v>68</v>
      </c>
      <c r="Z9" s="156" t="s">
        <v>69</v>
      </c>
      <c r="AA9" s="156" t="s">
        <v>2</v>
      </c>
      <c r="AB9" s="156" t="s">
        <v>3</v>
      </c>
      <c r="AC9" s="156" t="s">
        <v>0</v>
      </c>
      <c r="AD9" s="156" t="s">
        <v>66</v>
      </c>
      <c r="AE9" s="156" t="s">
        <v>67</v>
      </c>
      <c r="AF9" s="156" t="s">
        <v>68</v>
      </c>
      <c r="AG9" s="156" t="s">
        <v>69</v>
      </c>
      <c r="AH9" s="156" t="s">
        <v>2</v>
      </c>
      <c r="AI9" s="156" t="s">
        <v>3</v>
      </c>
      <c r="AJ9" s="156" t="s">
        <v>0</v>
      </c>
      <c r="AK9" s="156" t="s">
        <v>66</v>
      </c>
      <c r="AL9" s="156" t="s">
        <v>67</v>
      </c>
      <c r="AM9" s="156" t="s">
        <v>68</v>
      </c>
      <c r="AN9" s="156" t="s">
        <v>69</v>
      </c>
      <c r="AO9" s="156" t="s">
        <v>2</v>
      </c>
      <c r="AP9" s="156" t="s">
        <v>3</v>
      </c>
      <c r="AQ9" s="156" t="s">
        <v>0</v>
      </c>
      <c r="AR9" s="156" t="s">
        <v>66</v>
      </c>
      <c r="AS9" s="156" t="s">
        <v>67</v>
      </c>
      <c r="AT9" s="156" t="s">
        <v>68</v>
      </c>
      <c r="AU9" s="156" t="s">
        <v>69</v>
      </c>
      <c r="AV9" s="156" t="s">
        <v>2</v>
      </c>
      <c r="AW9" s="156" t="s">
        <v>3</v>
      </c>
      <c r="AX9" s="156" t="s">
        <v>0</v>
      </c>
      <c r="AY9" s="156" t="s">
        <v>66</v>
      </c>
      <c r="AZ9" s="156" t="s">
        <v>67</v>
      </c>
      <c r="BA9" s="156" t="s">
        <v>68</v>
      </c>
      <c r="BB9" s="156" t="s">
        <v>69</v>
      </c>
      <c r="BC9" s="156" t="s">
        <v>2</v>
      </c>
      <c r="BD9" s="156" t="s">
        <v>3</v>
      </c>
    </row>
    <row r="10" spans="1:56" x14ac:dyDescent="0.25">
      <c r="A10" s="157" t="s">
        <v>4</v>
      </c>
      <c r="B10" s="158">
        <v>0.29166666666666669</v>
      </c>
      <c r="C10" s="158">
        <v>0.35416666666666669</v>
      </c>
      <c r="D10" s="158">
        <v>0.6875</v>
      </c>
      <c r="E10" s="158">
        <v>0.79166666666666663</v>
      </c>
      <c r="F10" s="159">
        <f>+C10-B10+E10-D10</f>
        <v>0.16666666666666663</v>
      </c>
      <c r="G10" s="160">
        <f>ROUND(+F10*24,2)</f>
        <v>4</v>
      </c>
      <c r="H10" s="157" t="s">
        <v>4</v>
      </c>
      <c r="I10" s="158">
        <v>0.33333333333333331</v>
      </c>
      <c r="J10" s="158">
        <v>0.75</v>
      </c>
      <c r="K10" s="158"/>
      <c r="L10" s="158"/>
      <c r="M10" s="159">
        <f>+J10-I10+L10-K10</f>
        <v>0.41666666666666669</v>
      </c>
      <c r="N10" s="160">
        <f>ROUND(+M10*24,2)</f>
        <v>10</v>
      </c>
      <c r="O10" s="157" t="s">
        <v>4</v>
      </c>
      <c r="P10" s="158"/>
      <c r="Q10" s="158"/>
      <c r="R10" s="158"/>
      <c r="S10" s="158"/>
      <c r="T10" s="159">
        <f>+Q10-P10+S10-R10</f>
        <v>0</v>
      </c>
      <c r="U10" s="160">
        <f>ROUND(+T10*24,2)</f>
        <v>0</v>
      </c>
      <c r="V10" s="157" t="s">
        <v>4</v>
      </c>
      <c r="W10" s="158"/>
      <c r="X10" s="158"/>
      <c r="Y10" s="158"/>
      <c r="Z10" s="158"/>
      <c r="AA10" s="159">
        <f>+X10-W10+Z10-Y10</f>
        <v>0</v>
      </c>
      <c r="AB10" s="160">
        <f>ROUND(+AA10*24,2)</f>
        <v>0</v>
      </c>
      <c r="AC10" s="157" t="s">
        <v>4</v>
      </c>
      <c r="AD10" s="158"/>
      <c r="AE10" s="158"/>
      <c r="AF10" s="158"/>
      <c r="AG10" s="158"/>
      <c r="AH10" s="159">
        <f>+AE10-AD10+AG10-AF10</f>
        <v>0</v>
      </c>
      <c r="AI10" s="160">
        <f>ROUND(+AH10*24,2)</f>
        <v>0</v>
      </c>
      <c r="AJ10" s="157" t="s">
        <v>4</v>
      </c>
      <c r="AK10" s="158"/>
      <c r="AL10" s="158"/>
      <c r="AM10" s="158"/>
      <c r="AN10" s="158"/>
      <c r="AO10" s="159">
        <f>+AL10-AK10+AN10-AM10</f>
        <v>0</v>
      </c>
      <c r="AP10" s="160">
        <f>ROUND(+AO10*24,2)</f>
        <v>0</v>
      </c>
      <c r="AQ10" s="157" t="s">
        <v>4</v>
      </c>
      <c r="AR10" s="158"/>
      <c r="AS10" s="158"/>
      <c r="AT10" s="158"/>
      <c r="AU10" s="158"/>
      <c r="AV10" s="159">
        <f>+AS10-AR10+AU10-AT10</f>
        <v>0</v>
      </c>
      <c r="AW10" s="160">
        <f>ROUND(+AV10*24,2)</f>
        <v>0</v>
      </c>
      <c r="AX10" s="157" t="s">
        <v>4</v>
      </c>
      <c r="AY10" s="158"/>
      <c r="AZ10" s="158"/>
      <c r="BA10" s="158"/>
      <c r="BB10" s="158"/>
      <c r="BC10" s="159">
        <f>+AZ10-AY10+BB10-BA10</f>
        <v>0</v>
      </c>
      <c r="BD10" s="160">
        <f>ROUND(+BC10*24,2)</f>
        <v>0</v>
      </c>
    </row>
    <row r="11" spans="1:56" x14ac:dyDescent="0.25">
      <c r="A11" s="157" t="s">
        <v>5</v>
      </c>
      <c r="B11" s="158">
        <v>0.29166666666666669</v>
      </c>
      <c r="C11" s="158">
        <v>0.35416666666666669</v>
      </c>
      <c r="D11" s="158">
        <v>0.6875</v>
      </c>
      <c r="E11" s="158">
        <v>0.79166666666666663</v>
      </c>
      <c r="F11" s="159">
        <f t="shared" ref="F11:F16" si="0">+C11-B11+E11-D11</f>
        <v>0.16666666666666663</v>
      </c>
      <c r="G11" s="160">
        <f t="shared" ref="G11:G16" si="1">ROUND(+F11*24,2)</f>
        <v>4</v>
      </c>
      <c r="H11" s="157" t="s">
        <v>5</v>
      </c>
      <c r="I11" s="158">
        <v>0.33333333333333331</v>
      </c>
      <c r="J11" s="158">
        <v>0.75</v>
      </c>
      <c r="K11" s="158"/>
      <c r="L11" s="158"/>
      <c r="M11" s="159">
        <f t="shared" ref="M11:M16" si="2">+J11-I11+L11-K11</f>
        <v>0.41666666666666669</v>
      </c>
      <c r="N11" s="160">
        <f t="shared" ref="N11:N16" si="3">ROUND(+M11*24,2)</f>
        <v>10</v>
      </c>
      <c r="O11" s="157" t="s">
        <v>5</v>
      </c>
      <c r="P11" s="158"/>
      <c r="Q11" s="158"/>
      <c r="R11" s="158"/>
      <c r="S11" s="158"/>
      <c r="T11" s="159">
        <f t="shared" ref="T11:T16" si="4">+Q11-P11+S11-R11</f>
        <v>0</v>
      </c>
      <c r="U11" s="160">
        <f t="shared" ref="U11:U16" si="5">ROUND(+T11*24,2)</f>
        <v>0</v>
      </c>
      <c r="V11" s="157" t="s">
        <v>5</v>
      </c>
      <c r="W11" s="158"/>
      <c r="X11" s="158"/>
      <c r="Y11" s="158"/>
      <c r="Z11" s="158"/>
      <c r="AA11" s="159">
        <f t="shared" ref="AA11:AA16" si="6">+X11-W11+Z11-Y11</f>
        <v>0</v>
      </c>
      <c r="AB11" s="160">
        <f t="shared" ref="AB11:AB16" si="7">ROUND(+AA11*24,2)</f>
        <v>0</v>
      </c>
      <c r="AC11" s="157" t="s">
        <v>5</v>
      </c>
      <c r="AD11" s="158"/>
      <c r="AE11" s="158"/>
      <c r="AF11" s="158"/>
      <c r="AG11" s="158"/>
      <c r="AH11" s="159">
        <f t="shared" ref="AH11:AH16" si="8">+AE11-AD11+AG11-AF11</f>
        <v>0</v>
      </c>
      <c r="AI11" s="160">
        <f t="shared" ref="AI11:AI16" si="9">ROUND(+AH11*24,2)</f>
        <v>0</v>
      </c>
      <c r="AJ11" s="157" t="s">
        <v>5</v>
      </c>
      <c r="AK11" s="158"/>
      <c r="AL11" s="158"/>
      <c r="AM11" s="158"/>
      <c r="AN11" s="158"/>
      <c r="AO11" s="159">
        <f t="shared" ref="AO11:AO16" si="10">+AL11-AK11+AN11-AM11</f>
        <v>0</v>
      </c>
      <c r="AP11" s="160">
        <f t="shared" ref="AP11:AP16" si="11">ROUND(+AO11*24,2)</f>
        <v>0</v>
      </c>
      <c r="AQ11" s="157" t="s">
        <v>5</v>
      </c>
      <c r="AR11" s="158"/>
      <c r="AS11" s="158"/>
      <c r="AT11" s="158"/>
      <c r="AU11" s="158"/>
      <c r="AV11" s="159">
        <f t="shared" ref="AV11:AV16" si="12">+AS11-AR11+AU11-AT11</f>
        <v>0</v>
      </c>
      <c r="AW11" s="160">
        <f t="shared" ref="AW11:AW16" si="13">ROUND(+AV11*24,2)</f>
        <v>0</v>
      </c>
      <c r="AX11" s="157" t="s">
        <v>5</v>
      </c>
      <c r="AY11" s="158"/>
      <c r="AZ11" s="158"/>
      <c r="BA11" s="158"/>
      <c r="BB11" s="158"/>
      <c r="BC11" s="159">
        <f t="shared" ref="BC11:BC16" si="14">+AZ11-AY11+BB11-BA11</f>
        <v>0</v>
      </c>
      <c r="BD11" s="160">
        <f t="shared" ref="BD11:BD16" si="15">ROUND(+BC11*24,2)</f>
        <v>0</v>
      </c>
    </row>
    <row r="12" spans="1:56" x14ac:dyDescent="0.25">
      <c r="A12" s="157" t="s">
        <v>6</v>
      </c>
      <c r="B12" s="158">
        <v>0.33333333333333331</v>
      </c>
      <c r="C12" s="158">
        <v>0.75</v>
      </c>
      <c r="D12" s="158"/>
      <c r="E12" s="158"/>
      <c r="F12" s="159">
        <f t="shared" si="0"/>
        <v>0.41666666666666669</v>
      </c>
      <c r="G12" s="160">
        <f t="shared" si="1"/>
        <v>10</v>
      </c>
      <c r="H12" s="157" t="s">
        <v>6</v>
      </c>
      <c r="I12" s="158">
        <v>0.33333333333333331</v>
      </c>
      <c r="J12" s="158">
        <v>0.75</v>
      </c>
      <c r="K12" s="158"/>
      <c r="L12" s="158"/>
      <c r="M12" s="159">
        <f t="shared" si="2"/>
        <v>0.41666666666666669</v>
      </c>
      <c r="N12" s="160">
        <f t="shared" si="3"/>
        <v>10</v>
      </c>
      <c r="O12" s="157" t="s">
        <v>6</v>
      </c>
      <c r="P12" s="158"/>
      <c r="Q12" s="158"/>
      <c r="R12" s="158"/>
      <c r="S12" s="158"/>
      <c r="T12" s="159">
        <f t="shared" si="4"/>
        <v>0</v>
      </c>
      <c r="U12" s="160">
        <f t="shared" si="5"/>
        <v>0</v>
      </c>
      <c r="V12" s="157" t="s">
        <v>6</v>
      </c>
      <c r="W12" s="158"/>
      <c r="X12" s="158"/>
      <c r="Y12" s="158"/>
      <c r="Z12" s="158"/>
      <c r="AA12" s="159">
        <f t="shared" si="6"/>
        <v>0</v>
      </c>
      <c r="AB12" s="160">
        <f t="shared" si="7"/>
        <v>0</v>
      </c>
      <c r="AC12" s="157" t="s">
        <v>6</v>
      </c>
      <c r="AD12" s="158"/>
      <c r="AE12" s="158"/>
      <c r="AF12" s="158"/>
      <c r="AG12" s="158"/>
      <c r="AH12" s="159">
        <f t="shared" si="8"/>
        <v>0</v>
      </c>
      <c r="AI12" s="160">
        <f t="shared" si="9"/>
        <v>0</v>
      </c>
      <c r="AJ12" s="157" t="s">
        <v>6</v>
      </c>
      <c r="AK12" s="158"/>
      <c r="AL12" s="158"/>
      <c r="AM12" s="158"/>
      <c r="AN12" s="158"/>
      <c r="AO12" s="159">
        <f t="shared" si="10"/>
        <v>0</v>
      </c>
      <c r="AP12" s="160">
        <f t="shared" si="11"/>
        <v>0</v>
      </c>
      <c r="AQ12" s="157" t="s">
        <v>6</v>
      </c>
      <c r="AR12" s="158"/>
      <c r="AS12" s="158"/>
      <c r="AT12" s="158"/>
      <c r="AU12" s="158"/>
      <c r="AV12" s="159">
        <f t="shared" si="12"/>
        <v>0</v>
      </c>
      <c r="AW12" s="160">
        <f t="shared" si="13"/>
        <v>0</v>
      </c>
      <c r="AX12" s="157" t="s">
        <v>6</v>
      </c>
      <c r="AY12" s="158"/>
      <c r="AZ12" s="158"/>
      <c r="BA12" s="158"/>
      <c r="BB12" s="158"/>
      <c r="BC12" s="159">
        <f t="shared" si="14"/>
        <v>0</v>
      </c>
      <c r="BD12" s="160">
        <f t="shared" si="15"/>
        <v>0</v>
      </c>
    </row>
    <row r="13" spans="1:56" x14ac:dyDescent="0.25">
      <c r="A13" s="157" t="s">
        <v>7</v>
      </c>
      <c r="B13" s="158">
        <v>0.29166666666666669</v>
      </c>
      <c r="C13" s="158">
        <v>0.35416666666666669</v>
      </c>
      <c r="D13" s="158">
        <v>0.6875</v>
      </c>
      <c r="E13" s="158">
        <v>0.79166666666666663</v>
      </c>
      <c r="F13" s="159">
        <f t="shared" si="0"/>
        <v>0.16666666666666663</v>
      </c>
      <c r="G13" s="160">
        <f t="shared" si="1"/>
        <v>4</v>
      </c>
      <c r="H13" s="157" t="s">
        <v>7</v>
      </c>
      <c r="I13" s="158">
        <v>0.33333333333333331</v>
      </c>
      <c r="J13" s="158">
        <v>0.75</v>
      </c>
      <c r="K13" s="158"/>
      <c r="L13" s="158"/>
      <c r="M13" s="159">
        <f t="shared" si="2"/>
        <v>0.41666666666666669</v>
      </c>
      <c r="N13" s="160">
        <f t="shared" si="3"/>
        <v>10</v>
      </c>
      <c r="O13" s="157" t="s">
        <v>7</v>
      </c>
      <c r="P13" s="158"/>
      <c r="Q13" s="158"/>
      <c r="R13" s="158"/>
      <c r="S13" s="158"/>
      <c r="T13" s="159">
        <f t="shared" si="4"/>
        <v>0</v>
      </c>
      <c r="U13" s="160">
        <f t="shared" si="5"/>
        <v>0</v>
      </c>
      <c r="V13" s="157" t="s">
        <v>7</v>
      </c>
      <c r="W13" s="158"/>
      <c r="X13" s="158"/>
      <c r="Y13" s="158"/>
      <c r="Z13" s="158"/>
      <c r="AA13" s="159">
        <f t="shared" si="6"/>
        <v>0</v>
      </c>
      <c r="AB13" s="160">
        <f t="shared" si="7"/>
        <v>0</v>
      </c>
      <c r="AC13" s="157" t="s">
        <v>7</v>
      </c>
      <c r="AD13" s="158"/>
      <c r="AE13" s="158"/>
      <c r="AF13" s="158"/>
      <c r="AG13" s="158"/>
      <c r="AH13" s="159">
        <f t="shared" si="8"/>
        <v>0</v>
      </c>
      <c r="AI13" s="160">
        <f t="shared" si="9"/>
        <v>0</v>
      </c>
      <c r="AJ13" s="157" t="s">
        <v>7</v>
      </c>
      <c r="AK13" s="158"/>
      <c r="AL13" s="158"/>
      <c r="AM13" s="158"/>
      <c r="AN13" s="158"/>
      <c r="AO13" s="159">
        <f t="shared" si="10"/>
        <v>0</v>
      </c>
      <c r="AP13" s="160">
        <f t="shared" si="11"/>
        <v>0</v>
      </c>
      <c r="AQ13" s="157" t="s">
        <v>7</v>
      </c>
      <c r="AR13" s="158"/>
      <c r="AS13" s="158"/>
      <c r="AT13" s="158"/>
      <c r="AU13" s="158"/>
      <c r="AV13" s="159">
        <f t="shared" si="12"/>
        <v>0</v>
      </c>
      <c r="AW13" s="160">
        <f t="shared" si="13"/>
        <v>0</v>
      </c>
      <c r="AX13" s="157" t="s">
        <v>7</v>
      </c>
      <c r="AY13" s="158"/>
      <c r="AZ13" s="158"/>
      <c r="BA13" s="158"/>
      <c r="BB13" s="158"/>
      <c r="BC13" s="159">
        <f t="shared" si="14"/>
        <v>0</v>
      </c>
      <c r="BD13" s="160">
        <f t="shared" si="15"/>
        <v>0</v>
      </c>
    </row>
    <row r="14" spans="1:56" x14ac:dyDescent="0.25">
      <c r="A14" s="157" t="s">
        <v>8</v>
      </c>
      <c r="B14" s="158">
        <v>0.29166666666666669</v>
      </c>
      <c r="C14" s="158">
        <v>0.35416666666666669</v>
      </c>
      <c r="D14" s="158">
        <v>0.6875</v>
      </c>
      <c r="E14" s="158">
        <v>0.79166666666666663</v>
      </c>
      <c r="F14" s="159">
        <f t="shared" si="0"/>
        <v>0.16666666666666663</v>
      </c>
      <c r="G14" s="160">
        <f t="shared" si="1"/>
        <v>4</v>
      </c>
      <c r="H14" s="157" t="s">
        <v>8</v>
      </c>
      <c r="I14" s="158">
        <v>0.33333333333333331</v>
      </c>
      <c r="J14" s="158">
        <v>0.75</v>
      </c>
      <c r="K14" s="158"/>
      <c r="L14" s="158"/>
      <c r="M14" s="159">
        <f t="shared" si="2"/>
        <v>0.41666666666666669</v>
      </c>
      <c r="N14" s="160">
        <f t="shared" si="3"/>
        <v>10</v>
      </c>
      <c r="O14" s="157" t="s">
        <v>8</v>
      </c>
      <c r="P14" s="158"/>
      <c r="Q14" s="158"/>
      <c r="R14" s="158"/>
      <c r="S14" s="158"/>
      <c r="T14" s="159">
        <f t="shared" si="4"/>
        <v>0</v>
      </c>
      <c r="U14" s="160">
        <f t="shared" si="5"/>
        <v>0</v>
      </c>
      <c r="V14" s="157" t="s">
        <v>8</v>
      </c>
      <c r="W14" s="158"/>
      <c r="X14" s="158"/>
      <c r="Y14" s="158"/>
      <c r="Z14" s="158"/>
      <c r="AA14" s="159">
        <f t="shared" si="6"/>
        <v>0</v>
      </c>
      <c r="AB14" s="160">
        <f t="shared" si="7"/>
        <v>0</v>
      </c>
      <c r="AC14" s="157" t="s">
        <v>8</v>
      </c>
      <c r="AD14" s="158"/>
      <c r="AE14" s="158"/>
      <c r="AF14" s="158"/>
      <c r="AG14" s="158"/>
      <c r="AH14" s="159">
        <f t="shared" si="8"/>
        <v>0</v>
      </c>
      <c r="AI14" s="160">
        <f t="shared" si="9"/>
        <v>0</v>
      </c>
      <c r="AJ14" s="157" t="s">
        <v>8</v>
      </c>
      <c r="AK14" s="158"/>
      <c r="AL14" s="158"/>
      <c r="AM14" s="158"/>
      <c r="AN14" s="158"/>
      <c r="AO14" s="159">
        <f t="shared" si="10"/>
        <v>0</v>
      </c>
      <c r="AP14" s="160">
        <f t="shared" si="11"/>
        <v>0</v>
      </c>
      <c r="AQ14" s="157" t="s">
        <v>8</v>
      </c>
      <c r="AR14" s="158"/>
      <c r="AS14" s="158"/>
      <c r="AT14" s="158"/>
      <c r="AU14" s="158"/>
      <c r="AV14" s="159">
        <f t="shared" si="12"/>
        <v>0</v>
      </c>
      <c r="AW14" s="160">
        <f t="shared" si="13"/>
        <v>0</v>
      </c>
      <c r="AX14" s="157" t="s">
        <v>8</v>
      </c>
      <c r="AY14" s="158"/>
      <c r="AZ14" s="158"/>
      <c r="BA14" s="158"/>
      <c r="BB14" s="158"/>
      <c r="BC14" s="159">
        <f t="shared" si="14"/>
        <v>0</v>
      </c>
      <c r="BD14" s="160">
        <f t="shared" si="15"/>
        <v>0</v>
      </c>
    </row>
    <row r="15" spans="1:56" x14ac:dyDescent="0.25">
      <c r="A15" s="157" t="s">
        <v>9</v>
      </c>
      <c r="B15" s="158"/>
      <c r="C15" s="158"/>
      <c r="D15" s="158"/>
      <c r="E15" s="158"/>
      <c r="F15" s="159">
        <f t="shared" si="0"/>
        <v>0</v>
      </c>
      <c r="G15" s="160">
        <f t="shared" si="1"/>
        <v>0</v>
      </c>
      <c r="H15" s="157" t="s">
        <v>9</v>
      </c>
      <c r="I15" s="158"/>
      <c r="J15" s="158"/>
      <c r="K15" s="158"/>
      <c r="L15" s="158"/>
      <c r="M15" s="159">
        <f t="shared" si="2"/>
        <v>0</v>
      </c>
      <c r="N15" s="160">
        <f t="shared" si="3"/>
        <v>0</v>
      </c>
      <c r="O15" s="157" t="s">
        <v>9</v>
      </c>
      <c r="P15" s="158"/>
      <c r="Q15" s="158"/>
      <c r="R15" s="158"/>
      <c r="S15" s="158"/>
      <c r="T15" s="159">
        <f t="shared" si="4"/>
        <v>0</v>
      </c>
      <c r="U15" s="160">
        <f t="shared" si="5"/>
        <v>0</v>
      </c>
      <c r="V15" s="157" t="s">
        <v>9</v>
      </c>
      <c r="W15" s="158"/>
      <c r="X15" s="158"/>
      <c r="Y15" s="158"/>
      <c r="Z15" s="158"/>
      <c r="AA15" s="159">
        <f t="shared" si="6"/>
        <v>0</v>
      </c>
      <c r="AB15" s="160">
        <f t="shared" si="7"/>
        <v>0</v>
      </c>
      <c r="AC15" s="157" t="s">
        <v>9</v>
      </c>
      <c r="AD15" s="158"/>
      <c r="AE15" s="158"/>
      <c r="AF15" s="158"/>
      <c r="AG15" s="158"/>
      <c r="AH15" s="159">
        <f t="shared" si="8"/>
        <v>0</v>
      </c>
      <c r="AI15" s="160">
        <f t="shared" si="9"/>
        <v>0</v>
      </c>
      <c r="AJ15" s="157" t="s">
        <v>9</v>
      </c>
      <c r="AK15" s="158"/>
      <c r="AL15" s="158"/>
      <c r="AM15" s="158"/>
      <c r="AN15" s="158"/>
      <c r="AO15" s="159">
        <f t="shared" si="10"/>
        <v>0</v>
      </c>
      <c r="AP15" s="160">
        <f t="shared" si="11"/>
        <v>0</v>
      </c>
      <c r="AQ15" s="157" t="s">
        <v>9</v>
      </c>
      <c r="AR15" s="158"/>
      <c r="AS15" s="158"/>
      <c r="AT15" s="158"/>
      <c r="AU15" s="158"/>
      <c r="AV15" s="159">
        <f t="shared" si="12"/>
        <v>0</v>
      </c>
      <c r="AW15" s="160">
        <f t="shared" si="13"/>
        <v>0</v>
      </c>
      <c r="AX15" s="157" t="s">
        <v>9</v>
      </c>
      <c r="AY15" s="158"/>
      <c r="AZ15" s="158"/>
      <c r="BA15" s="158"/>
      <c r="BB15" s="158"/>
      <c r="BC15" s="159">
        <f t="shared" si="14"/>
        <v>0</v>
      </c>
      <c r="BD15" s="160">
        <f t="shared" si="15"/>
        <v>0</v>
      </c>
    </row>
    <row r="16" spans="1:56" x14ac:dyDescent="0.25">
      <c r="A16" s="157" t="s">
        <v>10</v>
      </c>
      <c r="B16" s="158"/>
      <c r="C16" s="158"/>
      <c r="D16" s="158"/>
      <c r="E16" s="158"/>
      <c r="F16" s="159">
        <f t="shared" si="0"/>
        <v>0</v>
      </c>
      <c r="G16" s="160">
        <f t="shared" si="1"/>
        <v>0</v>
      </c>
      <c r="H16" s="157" t="s">
        <v>10</v>
      </c>
      <c r="I16" s="158"/>
      <c r="J16" s="158"/>
      <c r="K16" s="158"/>
      <c r="L16" s="158"/>
      <c r="M16" s="159">
        <f t="shared" si="2"/>
        <v>0</v>
      </c>
      <c r="N16" s="160">
        <f t="shared" si="3"/>
        <v>0</v>
      </c>
      <c r="O16" s="157" t="s">
        <v>10</v>
      </c>
      <c r="P16" s="158"/>
      <c r="Q16" s="158"/>
      <c r="R16" s="158"/>
      <c r="S16" s="158"/>
      <c r="T16" s="159">
        <f t="shared" si="4"/>
        <v>0</v>
      </c>
      <c r="U16" s="160">
        <f t="shared" si="5"/>
        <v>0</v>
      </c>
      <c r="V16" s="157" t="s">
        <v>10</v>
      </c>
      <c r="W16" s="158"/>
      <c r="X16" s="158"/>
      <c r="Y16" s="158"/>
      <c r="Z16" s="158"/>
      <c r="AA16" s="159">
        <f t="shared" si="6"/>
        <v>0</v>
      </c>
      <c r="AB16" s="160">
        <f t="shared" si="7"/>
        <v>0</v>
      </c>
      <c r="AC16" s="157" t="s">
        <v>10</v>
      </c>
      <c r="AD16" s="158"/>
      <c r="AE16" s="158"/>
      <c r="AF16" s="158"/>
      <c r="AG16" s="158"/>
      <c r="AH16" s="159">
        <f t="shared" si="8"/>
        <v>0</v>
      </c>
      <c r="AI16" s="160">
        <f t="shared" si="9"/>
        <v>0</v>
      </c>
      <c r="AJ16" s="157" t="s">
        <v>10</v>
      </c>
      <c r="AK16" s="158"/>
      <c r="AL16" s="158"/>
      <c r="AM16" s="158"/>
      <c r="AN16" s="158"/>
      <c r="AO16" s="159">
        <f t="shared" si="10"/>
        <v>0</v>
      </c>
      <c r="AP16" s="160">
        <f t="shared" si="11"/>
        <v>0</v>
      </c>
      <c r="AQ16" s="157" t="s">
        <v>10</v>
      </c>
      <c r="AR16" s="158"/>
      <c r="AS16" s="158"/>
      <c r="AT16" s="158"/>
      <c r="AU16" s="158"/>
      <c r="AV16" s="159">
        <f t="shared" si="12"/>
        <v>0</v>
      </c>
      <c r="AW16" s="160">
        <f t="shared" si="13"/>
        <v>0</v>
      </c>
      <c r="AX16" s="157" t="s">
        <v>10</v>
      </c>
      <c r="AY16" s="158"/>
      <c r="AZ16" s="158"/>
      <c r="BA16" s="158"/>
      <c r="BB16" s="158"/>
      <c r="BC16" s="159">
        <f t="shared" si="14"/>
        <v>0</v>
      </c>
      <c r="BD16" s="160">
        <f t="shared" si="15"/>
        <v>0</v>
      </c>
    </row>
    <row r="17" spans="1:56" x14ac:dyDescent="0.25">
      <c r="B17" s="161"/>
      <c r="C17" s="161"/>
      <c r="D17" s="161"/>
      <c r="E17" s="161"/>
      <c r="F17" s="157" t="s">
        <v>56</v>
      </c>
      <c r="G17" s="160">
        <f>SUM(G10:G16)</f>
        <v>26</v>
      </c>
      <c r="I17" s="161"/>
      <c r="J17" s="161"/>
      <c r="K17" s="161"/>
      <c r="L17" s="161"/>
      <c r="M17" s="157" t="s">
        <v>56</v>
      </c>
      <c r="N17" s="160">
        <f>SUM(N10:N16)</f>
        <v>50</v>
      </c>
      <c r="P17" s="161"/>
      <c r="Q17" s="161"/>
      <c r="R17" s="161"/>
      <c r="S17" s="161"/>
      <c r="T17" s="157" t="s">
        <v>56</v>
      </c>
      <c r="U17" s="160">
        <f>SUM(U10:U16)</f>
        <v>0</v>
      </c>
      <c r="W17" s="161"/>
      <c r="X17" s="161"/>
      <c r="Y17" s="161"/>
      <c r="Z17" s="161"/>
      <c r="AA17" s="157" t="s">
        <v>56</v>
      </c>
      <c r="AB17" s="160">
        <f>SUM(AB10:AB16)</f>
        <v>0</v>
      </c>
      <c r="AD17" s="161"/>
      <c r="AE17" s="161"/>
      <c r="AF17" s="161"/>
      <c r="AG17" s="161"/>
      <c r="AH17" s="157" t="s">
        <v>56</v>
      </c>
      <c r="AI17" s="160">
        <f>SUM(AI10:AI16)</f>
        <v>0</v>
      </c>
      <c r="AK17" s="161"/>
      <c r="AL17" s="161"/>
      <c r="AM17" s="161"/>
      <c r="AN17" s="161"/>
      <c r="AO17" s="157" t="s">
        <v>56</v>
      </c>
      <c r="AP17" s="160">
        <f>SUM(AP10:AP16)</f>
        <v>0</v>
      </c>
      <c r="AR17" s="161"/>
      <c r="AS17" s="161"/>
      <c r="AT17" s="161"/>
      <c r="AU17" s="161"/>
      <c r="AV17" s="157" t="s">
        <v>56</v>
      </c>
      <c r="AW17" s="160">
        <f>SUM(AW10:AW16)</f>
        <v>0</v>
      </c>
      <c r="AY17" s="161"/>
      <c r="AZ17" s="161"/>
      <c r="BA17" s="161"/>
      <c r="BB17" s="161"/>
      <c r="BC17" s="157" t="s">
        <v>56</v>
      </c>
      <c r="BD17" s="160">
        <f>SUM(BD10:BD16)</f>
        <v>0</v>
      </c>
    </row>
    <row r="19" spans="1:56" x14ac:dyDescent="0.25">
      <c r="B19" s="162"/>
      <c r="C19" s="163"/>
      <c r="D19" s="163"/>
      <c r="E19" s="163"/>
      <c r="F19" s="164" t="s">
        <v>11</v>
      </c>
      <c r="G19" s="165">
        <f>+IF(G17&gt;=45,45,G17)</f>
        <v>26</v>
      </c>
      <c r="I19" s="162"/>
      <c r="J19" s="163"/>
      <c r="K19" s="163"/>
      <c r="L19" s="163"/>
      <c r="M19" s="164" t="s">
        <v>11</v>
      </c>
      <c r="N19" s="165">
        <f>+IF(N17&gt;=45,45,N17)</f>
        <v>45</v>
      </c>
      <c r="P19" s="162"/>
      <c r="Q19" s="163"/>
      <c r="R19" s="163"/>
      <c r="S19" s="163"/>
      <c r="T19" s="164" t="s">
        <v>11</v>
      </c>
      <c r="U19" s="165">
        <f>+IF(U17&gt;=45,45,U17)</f>
        <v>0</v>
      </c>
      <c r="W19" s="162"/>
      <c r="X19" s="163"/>
      <c r="Y19" s="163"/>
      <c r="Z19" s="163"/>
      <c r="AA19" s="164" t="s">
        <v>11</v>
      </c>
      <c r="AB19" s="165">
        <f>+IF(AB17&gt;=45,45,AB17)</f>
        <v>0</v>
      </c>
      <c r="AD19" s="162"/>
      <c r="AE19" s="163"/>
      <c r="AF19" s="163"/>
      <c r="AG19" s="163"/>
      <c r="AH19" s="164" t="s">
        <v>11</v>
      </c>
      <c r="AI19" s="165">
        <f>+IF(AI17&gt;=45,45,AI17)</f>
        <v>0</v>
      </c>
      <c r="AK19" s="162"/>
      <c r="AL19" s="163"/>
      <c r="AM19" s="163"/>
      <c r="AN19" s="163"/>
      <c r="AO19" s="164" t="s">
        <v>11</v>
      </c>
      <c r="AP19" s="165">
        <f>+IF(AP17&gt;=45,45,AP17)</f>
        <v>0</v>
      </c>
      <c r="AR19" s="162"/>
      <c r="AS19" s="163"/>
      <c r="AT19" s="163"/>
      <c r="AU19" s="163"/>
      <c r="AV19" s="164" t="s">
        <v>11</v>
      </c>
      <c r="AW19" s="165">
        <f>+IF(AW17&gt;=45,45,AW17)</f>
        <v>0</v>
      </c>
      <c r="AY19" s="162"/>
      <c r="AZ19" s="163"/>
      <c r="BA19" s="163"/>
      <c r="BB19" s="163"/>
      <c r="BC19" s="164" t="s">
        <v>11</v>
      </c>
      <c r="BD19" s="165">
        <f>+IF(BD17&gt;=45,45,BD17)</f>
        <v>0</v>
      </c>
    </row>
    <row r="20" spans="1:56" x14ac:dyDescent="0.25">
      <c r="B20" s="166"/>
      <c r="C20" s="167"/>
      <c r="D20" s="167"/>
      <c r="E20" s="167"/>
      <c r="F20" s="168" t="s">
        <v>12</v>
      </c>
      <c r="G20" s="165">
        <f>+IF(G17&gt;45,G17-45,0)</f>
        <v>0</v>
      </c>
      <c r="I20" s="166"/>
      <c r="J20" s="167"/>
      <c r="K20" s="167"/>
      <c r="L20" s="167"/>
      <c r="M20" s="168" t="s">
        <v>12</v>
      </c>
      <c r="N20" s="165">
        <f>+IF(N17&gt;45,N17-45,0)</f>
        <v>5</v>
      </c>
      <c r="P20" s="166"/>
      <c r="Q20" s="167"/>
      <c r="R20" s="167"/>
      <c r="S20" s="167"/>
      <c r="T20" s="168" t="s">
        <v>12</v>
      </c>
      <c r="U20" s="165">
        <f>+IF(U17&gt;45,U17-45,0)</f>
        <v>0</v>
      </c>
      <c r="W20" s="166"/>
      <c r="X20" s="167"/>
      <c r="Y20" s="167"/>
      <c r="Z20" s="167"/>
      <c r="AA20" s="168" t="s">
        <v>12</v>
      </c>
      <c r="AB20" s="165">
        <f>+IF(AB17&gt;45,AB17-45,0)</f>
        <v>0</v>
      </c>
      <c r="AD20" s="166"/>
      <c r="AE20" s="167"/>
      <c r="AF20" s="167"/>
      <c r="AG20" s="167"/>
      <c r="AH20" s="168" t="s">
        <v>12</v>
      </c>
      <c r="AI20" s="165">
        <f>+IF(AI17&gt;45,AI17-45,0)</f>
        <v>0</v>
      </c>
      <c r="AK20" s="166"/>
      <c r="AL20" s="167"/>
      <c r="AM20" s="167"/>
      <c r="AN20" s="167"/>
      <c r="AO20" s="168" t="s">
        <v>12</v>
      </c>
      <c r="AP20" s="165">
        <f>+IF(AP17&gt;45,AP17-45,0)</f>
        <v>0</v>
      </c>
      <c r="AR20" s="166"/>
      <c r="AS20" s="167"/>
      <c r="AT20" s="167"/>
      <c r="AU20" s="167"/>
      <c r="AV20" s="168" t="s">
        <v>12</v>
      </c>
      <c r="AW20" s="165">
        <f>+IF(AW17&gt;45,AW17-45,0)</f>
        <v>0</v>
      </c>
      <c r="AY20" s="166"/>
      <c r="AZ20" s="167"/>
      <c r="BA20" s="167"/>
      <c r="BB20" s="167"/>
      <c r="BC20" s="168" t="s">
        <v>12</v>
      </c>
      <c r="BD20" s="165">
        <f>+IF(BD17&gt;45,BD17-45,0)</f>
        <v>0</v>
      </c>
    </row>
    <row r="22" spans="1:56" x14ac:dyDescent="0.25">
      <c r="B22" s="162"/>
      <c r="C22" s="163"/>
      <c r="D22" s="163"/>
      <c r="E22" s="163"/>
      <c r="F22" s="169" t="s">
        <v>13</v>
      </c>
      <c r="G22" s="170">
        <v>36</v>
      </c>
      <c r="I22" s="162"/>
      <c r="J22" s="163"/>
      <c r="K22" s="163"/>
      <c r="L22" s="163"/>
      <c r="M22" s="169" t="s">
        <v>13</v>
      </c>
      <c r="N22" s="170">
        <v>16</v>
      </c>
      <c r="P22" s="162"/>
      <c r="Q22" s="163"/>
      <c r="R22" s="163"/>
      <c r="S22" s="163"/>
      <c r="T22" s="169" t="s">
        <v>13</v>
      </c>
      <c r="U22" s="170"/>
      <c r="W22" s="162"/>
      <c r="X22" s="163"/>
      <c r="Y22" s="163"/>
      <c r="Z22" s="163"/>
      <c r="AA22" s="169" t="s">
        <v>13</v>
      </c>
      <c r="AB22" s="170"/>
      <c r="AD22" s="162"/>
      <c r="AE22" s="163"/>
      <c r="AF22" s="163"/>
      <c r="AG22" s="163"/>
      <c r="AH22" s="169" t="s">
        <v>13</v>
      </c>
      <c r="AI22" s="170"/>
      <c r="AK22" s="162"/>
      <c r="AL22" s="163"/>
      <c r="AM22" s="163"/>
      <c r="AN22" s="163"/>
      <c r="AO22" s="169" t="s">
        <v>13</v>
      </c>
      <c r="AP22" s="170"/>
      <c r="AR22" s="162"/>
      <c r="AS22" s="163"/>
      <c r="AT22" s="163"/>
      <c r="AU22" s="163"/>
      <c r="AV22" s="169" t="s">
        <v>13</v>
      </c>
      <c r="AW22" s="170"/>
      <c r="AY22" s="162"/>
      <c r="AZ22" s="163"/>
      <c r="BA22" s="163"/>
      <c r="BB22" s="163"/>
      <c r="BC22" s="169" t="s">
        <v>13</v>
      </c>
      <c r="BD22" s="170"/>
    </row>
    <row r="24" spans="1:56" x14ac:dyDescent="0.25">
      <c r="B24" s="162"/>
      <c r="C24" s="163"/>
      <c r="D24" s="163"/>
      <c r="E24" s="163"/>
      <c r="F24" s="164" t="s">
        <v>14</v>
      </c>
      <c r="G24" s="165">
        <f>+G19*G22</f>
        <v>936</v>
      </c>
      <c r="I24" s="162"/>
      <c r="J24" s="163"/>
      <c r="K24" s="163"/>
      <c r="L24" s="163"/>
      <c r="M24" s="164" t="s">
        <v>14</v>
      </c>
      <c r="N24" s="165">
        <f>+N19*N22</f>
        <v>720</v>
      </c>
      <c r="P24" s="162"/>
      <c r="Q24" s="163"/>
      <c r="R24" s="163"/>
      <c r="S24" s="163"/>
      <c r="T24" s="164" t="s">
        <v>14</v>
      </c>
      <c r="U24" s="165">
        <f>+U19*U22</f>
        <v>0</v>
      </c>
      <c r="W24" s="162"/>
      <c r="X24" s="163"/>
      <c r="Y24" s="163"/>
      <c r="Z24" s="163"/>
      <c r="AA24" s="164" t="s">
        <v>14</v>
      </c>
      <c r="AB24" s="165">
        <f>+AB19*AB22</f>
        <v>0</v>
      </c>
      <c r="AD24" s="162"/>
      <c r="AE24" s="163"/>
      <c r="AF24" s="163"/>
      <c r="AG24" s="163"/>
      <c r="AH24" s="164" t="s">
        <v>14</v>
      </c>
      <c r="AI24" s="165">
        <f>+AI19*AI22</f>
        <v>0</v>
      </c>
      <c r="AK24" s="162"/>
      <c r="AL24" s="163"/>
      <c r="AM24" s="163"/>
      <c r="AN24" s="163"/>
      <c r="AO24" s="164" t="s">
        <v>14</v>
      </c>
      <c r="AP24" s="165">
        <f>+AP19*AP22</f>
        <v>0</v>
      </c>
      <c r="AR24" s="162"/>
      <c r="AS24" s="163"/>
      <c r="AT24" s="163"/>
      <c r="AU24" s="163"/>
      <c r="AV24" s="164" t="s">
        <v>14</v>
      </c>
      <c r="AW24" s="165">
        <f>+AW19*AW22</f>
        <v>0</v>
      </c>
      <c r="AY24" s="162"/>
      <c r="AZ24" s="163"/>
      <c r="BA24" s="163"/>
      <c r="BB24" s="163"/>
      <c r="BC24" s="164" t="s">
        <v>14</v>
      </c>
      <c r="BD24" s="165">
        <f>+BD19*BD22</f>
        <v>0</v>
      </c>
    </row>
    <row r="25" spans="1:56" x14ac:dyDescent="0.25">
      <c r="B25" s="166"/>
      <c r="C25" s="167"/>
      <c r="D25" s="167"/>
      <c r="E25" s="167"/>
      <c r="F25" s="168" t="s">
        <v>15</v>
      </c>
      <c r="G25" s="165">
        <f>+G20*G22</f>
        <v>0</v>
      </c>
      <c r="I25" s="166"/>
      <c r="J25" s="167"/>
      <c r="K25" s="167"/>
      <c r="L25" s="167"/>
      <c r="M25" s="168" t="s">
        <v>15</v>
      </c>
      <c r="N25" s="165">
        <f>+N20*N22</f>
        <v>80</v>
      </c>
      <c r="P25" s="166"/>
      <c r="Q25" s="167"/>
      <c r="R25" s="167"/>
      <c r="S25" s="167"/>
      <c r="T25" s="168" t="s">
        <v>15</v>
      </c>
      <c r="U25" s="165">
        <f>+U20*U22</f>
        <v>0</v>
      </c>
      <c r="W25" s="166"/>
      <c r="X25" s="167"/>
      <c r="Y25" s="167"/>
      <c r="Z25" s="167"/>
      <c r="AA25" s="168" t="s">
        <v>15</v>
      </c>
      <c r="AB25" s="165">
        <f>+AB20*AB22</f>
        <v>0</v>
      </c>
      <c r="AD25" s="166"/>
      <c r="AE25" s="167"/>
      <c r="AF25" s="167"/>
      <c r="AG25" s="167"/>
      <c r="AH25" s="168" t="s">
        <v>15</v>
      </c>
      <c r="AI25" s="165">
        <f>+AI20*AI22</f>
        <v>0</v>
      </c>
      <c r="AK25" s="166"/>
      <c r="AL25" s="167"/>
      <c r="AM25" s="167"/>
      <c r="AN25" s="167"/>
      <c r="AO25" s="168" t="s">
        <v>15</v>
      </c>
      <c r="AP25" s="165">
        <f>+AP20*AP22</f>
        <v>0</v>
      </c>
      <c r="AR25" s="166"/>
      <c r="AS25" s="167"/>
      <c r="AT25" s="167"/>
      <c r="AU25" s="167"/>
      <c r="AV25" s="168" t="s">
        <v>15</v>
      </c>
      <c r="AW25" s="165">
        <f>+AW20*AW22</f>
        <v>0</v>
      </c>
      <c r="AY25" s="166"/>
      <c r="AZ25" s="167"/>
      <c r="BA25" s="167"/>
      <c r="BB25" s="167"/>
      <c r="BC25" s="168" t="s">
        <v>15</v>
      </c>
      <c r="BD25" s="165">
        <f>+BD20*BD22</f>
        <v>0</v>
      </c>
    </row>
    <row r="27" spans="1:56" x14ac:dyDescent="0.25">
      <c r="B27" s="162"/>
      <c r="C27" s="163"/>
      <c r="D27" s="163"/>
      <c r="E27" s="163"/>
      <c r="F27" s="164" t="s">
        <v>48</v>
      </c>
      <c r="G27" s="171">
        <f>+COUNTIF(G10:G16,"&gt;0,001")*G22</f>
        <v>180</v>
      </c>
      <c r="I27" s="162"/>
      <c r="J27" s="163"/>
      <c r="K27" s="163"/>
      <c r="L27" s="163"/>
      <c r="M27" s="164" t="s">
        <v>48</v>
      </c>
      <c r="N27" s="171">
        <f>+COUNTIF(N10:N16,"&gt;0,001")*N22</f>
        <v>80</v>
      </c>
      <c r="P27" s="162"/>
      <c r="Q27" s="163"/>
      <c r="R27" s="163"/>
      <c r="S27" s="163"/>
      <c r="T27" s="164" t="s">
        <v>48</v>
      </c>
      <c r="U27" s="171">
        <f>+COUNTIF(U10:U16,"&gt;0,001")*U22</f>
        <v>0</v>
      </c>
      <c r="W27" s="162"/>
      <c r="X27" s="163"/>
      <c r="Y27" s="163"/>
      <c r="Z27" s="163"/>
      <c r="AA27" s="164" t="s">
        <v>48</v>
      </c>
      <c r="AB27" s="171">
        <f>+COUNTIF(AB10:AB16,"&gt;0,001")*AB22</f>
        <v>0</v>
      </c>
      <c r="AD27" s="162"/>
      <c r="AE27" s="163"/>
      <c r="AF27" s="163"/>
      <c r="AG27" s="163"/>
      <c r="AH27" s="164" t="s">
        <v>48</v>
      </c>
      <c r="AI27" s="171">
        <f>+COUNTIF(AI10:AI16,"&gt;0,001")*AI22</f>
        <v>0</v>
      </c>
      <c r="AK27" s="162"/>
      <c r="AL27" s="163"/>
      <c r="AM27" s="163"/>
      <c r="AN27" s="163"/>
      <c r="AO27" s="164" t="s">
        <v>48</v>
      </c>
      <c r="AP27" s="171">
        <f>+COUNTIF(AP10:AP16,"&gt;0,001")*AP22</f>
        <v>0</v>
      </c>
      <c r="AR27" s="162"/>
      <c r="AS27" s="163"/>
      <c r="AT27" s="163"/>
      <c r="AU27" s="163"/>
      <c r="AV27" s="164" t="s">
        <v>48</v>
      </c>
      <c r="AW27" s="171">
        <f>+COUNTIF(AW10:AW16,"&gt;0,001")*AW22</f>
        <v>0</v>
      </c>
      <c r="AY27" s="162"/>
      <c r="AZ27" s="163"/>
      <c r="BA27" s="163"/>
      <c r="BB27" s="163"/>
      <c r="BC27" s="164" t="s">
        <v>48</v>
      </c>
      <c r="BD27" s="171">
        <f>+COUNTIF(BD10:BD16,"&gt;0,001")*BD22</f>
        <v>0</v>
      </c>
    </row>
    <row r="28" spans="1:56" x14ac:dyDescent="0.25">
      <c r="F28" s="63"/>
      <c r="G28" s="172"/>
      <c r="M28" s="63"/>
      <c r="N28" s="172"/>
      <c r="T28" s="63"/>
      <c r="U28" s="172"/>
      <c r="AA28" s="63"/>
      <c r="AB28" s="172"/>
      <c r="AH28" s="63"/>
      <c r="AI28" s="172"/>
      <c r="AO28" s="63"/>
      <c r="AP28" s="172"/>
      <c r="AV28" s="63"/>
      <c r="AW28" s="172"/>
      <c r="BC28" s="63"/>
      <c r="BD28" s="172"/>
    </row>
    <row r="30" spans="1:56" ht="18.75" x14ac:dyDescent="0.3">
      <c r="A30" s="220" t="s">
        <v>24</v>
      </c>
      <c r="B30" s="221"/>
      <c r="C30" s="221"/>
      <c r="D30" s="221"/>
      <c r="E30" s="221"/>
      <c r="F30" s="221"/>
      <c r="G30" s="222"/>
      <c r="M30" s="63" t="s">
        <v>86</v>
      </c>
      <c r="N30" s="173" t="s">
        <v>71</v>
      </c>
    </row>
    <row r="32" spans="1:56" x14ac:dyDescent="0.25">
      <c r="F32" s="63" t="s">
        <v>13</v>
      </c>
      <c r="G32" s="174">
        <f>+G22+N22+U22+AB22+AI22+AP22+AW22+BD22</f>
        <v>52</v>
      </c>
      <c r="M32" s="63" t="s">
        <v>26</v>
      </c>
      <c r="N32" s="57">
        <f ca="1">+IF(N30="NON",VLOOKUP(D5,base,2,TRUE),VLOOKUP(D5,base,3,TRUE))</f>
        <v>0.88200000000000001</v>
      </c>
    </row>
    <row r="34" spans="1:14" x14ac:dyDescent="0.25">
      <c r="F34" s="63" t="s">
        <v>25</v>
      </c>
      <c r="G34" s="93" t="str">
        <f>+IF(G32=52,"COMPLETE", IF(G32&lt;47,"INCOMPLETE","ERREUR"))</f>
        <v>COMPLETE</v>
      </c>
    </row>
    <row r="36" spans="1:14" x14ac:dyDescent="0.25">
      <c r="F36" s="61" t="s">
        <v>57</v>
      </c>
      <c r="G36" s="93">
        <f>+IF(G32=52,52, IF(G32&lt;47,G32,"ERREUR"))</f>
        <v>52</v>
      </c>
      <c r="M36" s="63" t="s">
        <v>29</v>
      </c>
      <c r="N36" s="175">
        <v>0.25</v>
      </c>
    </row>
    <row r="38" spans="1:14" x14ac:dyDescent="0.25">
      <c r="F38" s="63" t="s">
        <v>35</v>
      </c>
      <c r="G38" s="176">
        <v>5</v>
      </c>
      <c r="M38" s="63" t="s">
        <v>31</v>
      </c>
      <c r="N38" s="177">
        <f>+G38*(1+N36)</f>
        <v>6.25</v>
      </c>
    </row>
    <row r="39" spans="1:14" x14ac:dyDescent="0.25">
      <c r="F39" s="63"/>
    </row>
    <row r="40" spans="1:14" x14ac:dyDescent="0.25">
      <c r="F40" s="63" t="s">
        <v>27</v>
      </c>
      <c r="G40" s="177">
        <f ca="1">+G38*N32</f>
        <v>4.41</v>
      </c>
      <c r="M40" s="63" t="s">
        <v>36</v>
      </c>
      <c r="N40" s="178">
        <v>4</v>
      </c>
    </row>
    <row r="41" spans="1:14" x14ac:dyDescent="0.25">
      <c r="F41" s="63"/>
      <c r="G41" s="177"/>
    </row>
    <row r="42" spans="1:14" x14ac:dyDescent="0.25">
      <c r="F42" s="63" t="s">
        <v>14</v>
      </c>
      <c r="G42" s="172">
        <f>(G24+N24+U24+AB24+AI24+AP24+AW24+BD24)*G36/G32</f>
        <v>1656</v>
      </c>
      <c r="M42" s="63" t="s">
        <v>62</v>
      </c>
      <c r="N42" s="178">
        <v>3.5</v>
      </c>
    </row>
    <row r="43" spans="1:14" x14ac:dyDescent="0.25">
      <c r="F43" s="63" t="s">
        <v>15</v>
      </c>
      <c r="G43" s="172">
        <f>(G25+N25+U25+AB25+AI25+AP25+AW25+BD25)*G36/G32</f>
        <v>80</v>
      </c>
    </row>
    <row r="44" spans="1:14" x14ac:dyDescent="0.25">
      <c r="F44" s="63"/>
      <c r="G44" s="172"/>
      <c r="M44" s="63" t="s">
        <v>63</v>
      </c>
      <c r="N44" s="178">
        <v>1</v>
      </c>
    </row>
    <row r="45" spans="1:14" x14ac:dyDescent="0.25">
      <c r="F45" s="63" t="s">
        <v>48</v>
      </c>
      <c r="G45" s="179">
        <f>+G27+N27+U27+AB27+AI27+AP27+AW27+BD27</f>
        <v>260</v>
      </c>
    </row>
    <row r="46" spans="1:14" x14ac:dyDescent="0.25">
      <c r="F46" s="63"/>
      <c r="G46" s="177"/>
      <c r="M46" s="63" t="s">
        <v>61</v>
      </c>
      <c r="N46" s="178">
        <v>2</v>
      </c>
    </row>
    <row r="47" spans="1:14" ht="18.75" x14ac:dyDescent="0.3">
      <c r="A47" s="220" t="s">
        <v>28</v>
      </c>
      <c r="B47" s="221"/>
      <c r="C47" s="221"/>
      <c r="D47" s="221"/>
      <c r="E47" s="221"/>
      <c r="F47" s="221"/>
      <c r="G47" s="222"/>
    </row>
    <row r="48" spans="1:14" ht="15.75" customHeight="1" x14ac:dyDescent="0.3">
      <c r="A48" s="180"/>
      <c r="B48" s="180"/>
      <c r="C48" s="180"/>
      <c r="D48" s="180"/>
      <c r="E48" s="180"/>
      <c r="F48" s="180"/>
      <c r="G48" s="180"/>
    </row>
    <row r="49" spans="1:7" ht="15.75" customHeight="1" x14ac:dyDescent="0.3">
      <c r="A49" s="180"/>
      <c r="F49" s="63" t="s">
        <v>49</v>
      </c>
      <c r="G49" s="179">
        <f>+G45/12</f>
        <v>21.666666666666668</v>
      </c>
    </row>
    <row r="50" spans="1:7" ht="15.75" customHeight="1" x14ac:dyDescent="0.25"/>
    <row r="51" spans="1:7" x14ac:dyDescent="0.25">
      <c r="F51" s="61" t="s">
        <v>23</v>
      </c>
      <c r="G51" s="181">
        <f>+G42/12</f>
        <v>138</v>
      </c>
    </row>
    <row r="52" spans="1:7" x14ac:dyDescent="0.25">
      <c r="F52" s="61" t="s">
        <v>12</v>
      </c>
      <c r="G52" s="181">
        <f>+G43/12</f>
        <v>6.666666666666667</v>
      </c>
    </row>
    <row r="53" spans="1:7" x14ac:dyDescent="0.25">
      <c r="F53" s="63"/>
      <c r="G53" s="182">
        <f>+G52+G51</f>
        <v>144.66666666666666</v>
      </c>
    </row>
    <row r="55" spans="1:7" x14ac:dyDescent="0.25">
      <c r="E55" s="93"/>
      <c r="F55" s="61" t="s">
        <v>30</v>
      </c>
      <c r="G55" s="147">
        <f>+(G51*G38)+(G52*N38)</f>
        <v>731.66666666666663</v>
      </c>
    </row>
    <row r="57" spans="1:7" x14ac:dyDescent="0.25">
      <c r="F57" s="63"/>
      <c r="G57" s="183"/>
    </row>
    <row r="59" spans="1:7" x14ac:dyDescent="0.25">
      <c r="F59" s="63"/>
      <c r="G59" s="183"/>
    </row>
    <row r="61" spans="1:7" x14ac:dyDescent="0.25">
      <c r="F61" s="61"/>
      <c r="G61" s="147"/>
    </row>
  </sheetData>
  <sheetProtection algorithmName="SHA-512" hashValue="hCn81nKz19fTmjtRXMUg/dx5bJlz1ELnxjdpyUIP4G43FoaVeQF+GoHMEItj0iHxhPAKp1gdwhTBfXDF8h2nhA==" saltValue="x+B3BdfiNcVCsDWnTdHRaA==" spinCount="100000" sheet="1" objects="1" scenarios="1" formatCells="0" formatColumns="0" formatRows="0" insertColumns="0" insertRows="0" insertHyperlinks="0" sort="0" autoFilter="0" pivotTables="0"/>
  <mergeCells count="12">
    <mergeCell ref="AC8:AI8"/>
    <mergeCell ref="AJ8:AP8"/>
    <mergeCell ref="AQ8:AW8"/>
    <mergeCell ref="AX8:BD8"/>
    <mergeCell ref="A1:N1"/>
    <mergeCell ref="D3:F3"/>
    <mergeCell ref="A47:G47"/>
    <mergeCell ref="A8:G8"/>
    <mergeCell ref="H8:N8"/>
    <mergeCell ref="O8:U8"/>
    <mergeCell ref="V8:AB8"/>
    <mergeCell ref="A30:G30"/>
  </mergeCells>
  <conditionalFormatting sqref="B10:E16">
    <cfRule type="notContainsBlanks" dxfId="74" priority="37">
      <formula>LEN(TRIM(B10))&gt;0</formula>
    </cfRule>
  </conditionalFormatting>
  <conditionalFormatting sqref="D3:F3">
    <cfRule type="notContainsBlanks" dxfId="73" priority="38">
      <formula>LEN(TRIM(D3))&gt;0</formula>
    </cfRule>
  </conditionalFormatting>
  <conditionalFormatting sqref="F43 F52">
    <cfRule type="expression" dxfId="72" priority="5">
      <formula>$G$43=0</formula>
    </cfRule>
  </conditionalFormatting>
  <conditionalFormatting sqref="G22">
    <cfRule type="notContainsBlanks" dxfId="71" priority="28">
      <formula>LEN(TRIM(G22))&gt;0</formula>
    </cfRule>
    <cfRule type="cellIs" dxfId="70" priority="29" operator="between">
      <formula>47</formula>
      <formula>51</formula>
    </cfRule>
  </conditionalFormatting>
  <conditionalFormatting sqref="G32">
    <cfRule type="cellIs" dxfId="69" priority="6" operator="greaterThanOrEqual">
      <formula>52.0000001</formula>
    </cfRule>
    <cfRule type="cellIs" dxfId="68" priority="7" operator="between">
      <formula>46.9999999999</formula>
      <formula>51.99999</formula>
    </cfRule>
  </conditionalFormatting>
  <conditionalFormatting sqref="G38">
    <cfRule type="notContainsBlanks" dxfId="67" priority="1">
      <formula>LEN(TRIM(G38))&gt;0</formula>
    </cfRule>
  </conditionalFormatting>
  <conditionalFormatting sqref="G43">
    <cfRule type="cellIs" dxfId="66" priority="4" operator="equal">
      <formula>0</formula>
    </cfRule>
  </conditionalFormatting>
  <conditionalFormatting sqref="G52">
    <cfRule type="cellIs" dxfId="65" priority="3" operator="equal">
      <formula>0</formula>
    </cfRule>
  </conditionalFormatting>
  <conditionalFormatting sqref="G53">
    <cfRule type="expression" dxfId="64" priority="2">
      <formula>$G$52=0</formula>
    </cfRule>
  </conditionalFormatting>
  <conditionalFormatting sqref="I10:L16">
    <cfRule type="notContainsBlanks" dxfId="63" priority="36">
      <formula>LEN(TRIM(I10))&gt;0</formula>
    </cfRule>
  </conditionalFormatting>
  <conditionalFormatting sqref="N22">
    <cfRule type="notContainsBlanks" dxfId="62" priority="26">
      <formula>LEN(TRIM(N22))&gt;0</formula>
    </cfRule>
    <cfRule type="cellIs" dxfId="61" priority="27" operator="between">
      <formula>47</formula>
      <formula>51</formula>
    </cfRule>
  </conditionalFormatting>
  <conditionalFormatting sqref="N30">
    <cfRule type="notContainsBlanks" dxfId="60" priority="15">
      <formula>LEN(TRIM(N30))&gt;0</formula>
    </cfRule>
  </conditionalFormatting>
  <conditionalFormatting sqref="N36">
    <cfRule type="notContainsBlanks" dxfId="59" priority="14">
      <formula>LEN(TRIM(N36))&gt;0</formula>
    </cfRule>
  </conditionalFormatting>
  <conditionalFormatting sqref="N40">
    <cfRule type="notContainsBlanks" dxfId="58" priority="13">
      <formula>LEN(TRIM(N40))&gt;0</formula>
    </cfRule>
  </conditionalFormatting>
  <conditionalFormatting sqref="N42">
    <cfRule type="notContainsBlanks" dxfId="57" priority="12">
      <formula>LEN(TRIM(N42))&gt;0</formula>
    </cfRule>
  </conditionalFormatting>
  <conditionalFormatting sqref="N44">
    <cfRule type="notContainsBlanks" dxfId="56" priority="11">
      <formula>LEN(TRIM(N44))&gt;0</formula>
    </cfRule>
  </conditionalFormatting>
  <conditionalFormatting sqref="N46">
    <cfRule type="notContainsBlanks" dxfId="55" priority="10">
      <formula>LEN(TRIM(N46))&gt;0</formula>
    </cfRule>
  </conditionalFormatting>
  <conditionalFormatting sqref="P10:S16">
    <cfRule type="notContainsBlanks" dxfId="54" priority="35">
      <formula>LEN(TRIM(P10))&gt;0</formula>
    </cfRule>
  </conditionalFormatting>
  <conditionalFormatting sqref="U22">
    <cfRule type="notContainsBlanks" dxfId="53" priority="24">
      <formula>LEN(TRIM(U22))&gt;0</formula>
    </cfRule>
    <cfRule type="cellIs" dxfId="52" priority="25" operator="between">
      <formula>47</formula>
      <formula>51</formula>
    </cfRule>
  </conditionalFormatting>
  <conditionalFormatting sqref="W10:Z16">
    <cfRule type="notContainsBlanks" dxfId="51" priority="34">
      <formula>LEN(TRIM(W10))&gt;0</formula>
    </cfRule>
  </conditionalFormatting>
  <conditionalFormatting sqref="AB22">
    <cfRule type="notContainsBlanks" dxfId="50" priority="22">
      <formula>LEN(TRIM(AB22))&gt;0</formula>
    </cfRule>
    <cfRule type="cellIs" dxfId="49" priority="23" operator="between">
      <formula>47</formula>
      <formula>51</formula>
    </cfRule>
  </conditionalFormatting>
  <conditionalFormatting sqref="AD10:AG16">
    <cfRule type="notContainsBlanks" dxfId="48" priority="33">
      <formula>LEN(TRIM(AD10))&gt;0</formula>
    </cfRule>
  </conditionalFormatting>
  <conditionalFormatting sqref="AI22">
    <cfRule type="notContainsBlanks" dxfId="47" priority="20">
      <formula>LEN(TRIM(AI22))&gt;0</formula>
    </cfRule>
    <cfRule type="cellIs" dxfId="46" priority="21" operator="between">
      <formula>47</formula>
      <formula>51</formula>
    </cfRule>
  </conditionalFormatting>
  <conditionalFormatting sqref="AK10:AN16">
    <cfRule type="notContainsBlanks" dxfId="45" priority="32">
      <formula>LEN(TRIM(AK10))&gt;0</formula>
    </cfRule>
  </conditionalFormatting>
  <conditionalFormatting sqref="AP22">
    <cfRule type="notContainsBlanks" dxfId="44" priority="18">
      <formula>LEN(TRIM(AP22))&gt;0</formula>
    </cfRule>
    <cfRule type="cellIs" dxfId="43" priority="19" operator="between">
      <formula>47</formula>
      <formula>51</formula>
    </cfRule>
  </conditionalFormatting>
  <conditionalFormatting sqref="AR10:AU16">
    <cfRule type="notContainsBlanks" dxfId="42" priority="31">
      <formula>LEN(TRIM(AR10))&gt;0</formula>
    </cfRule>
  </conditionalFormatting>
  <conditionalFormatting sqref="AW22">
    <cfRule type="notContainsBlanks" dxfId="41" priority="16">
      <formula>LEN(TRIM(AW22))&gt;0</formula>
    </cfRule>
    <cfRule type="cellIs" dxfId="40" priority="17" operator="between">
      <formula>47</formula>
      <formula>51</formula>
    </cfRule>
  </conditionalFormatting>
  <conditionalFormatting sqref="AY10:BB16">
    <cfRule type="notContainsBlanks" dxfId="39" priority="30">
      <formula>LEN(TRIM(AY10))&gt;0</formula>
    </cfRule>
  </conditionalFormatting>
  <conditionalFormatting sqref="BD22">
    <cfRule type="notContainsBlanks" dxfId="38" priority="8">
      <formula>LEN(TRIM(BD22))&gt;0</formula>
    </cfRule>
    <cfRule type="cellIs" dxfId="37" priority="9" operator="between">
      <formula>47</formula>
      <formula>51</formula>
    </cfRule>
  </conditionalFormatting>
  <dataValidations count="2">
    <dataValidation errorStyle="information" allowBlank="1" showErrorMessage="1" errorTitle="Ne peut ête supérieure à 52 sem" sqref="G32" xr:uid="{DE8C9DC4-0CB5-4CDD-BDAF-4981D92099F8}"/>
    <dataValidation type="list" allowBlank="1" showInputMessage="1" showErrorMessage="1" sqref="N30" xr:uid="{C6F4FA0C-A248-47A3-9411-1E8E81B8411F}">
      <formula1>"OUI,NON"</formula1>
    </dataValidation>
  </dataValidations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Mensualisation</vt:lpstr>
      <vt:lpstr>Aide de la CAF et coût</vt:lpstr>
      <vt:lpstr>Coût mensuel et CMG</vt:lpstr>
      <vt:lpstr>base</vt:lpstr>
      <vt:lpstr>Exemple 1 année incomplète</vt:lpstr>
      <vt:lpstr>Exemple 2 année complète</vt:lpstr>
      <vt:lpstr>Exemple 3 année complète péris</vt:lpstr>
      <vt:lpstr>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POUTEAU</dc:creator>
  <cp:lastModifiedBy>David POUTEAU</cp:lastModifiedBy>
  <cp:lastPrinted>2026-01-18T16:46:55Z</cp:lastPrinted>
  <dcterms:created xsi:type="dcterms:W3CDTF">2020-06-23T15:33:20Z</dcterms:created>
  <dcterms:modified xsi:type="dcterms:W3CDTF">2026-01-21T13:49:16Z</dcterms:modified>
</cp:coreProperties>
</file>