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Clé usb\FoFGTA\Mayotte\"/>
    </mc:Choice>
  </mc:AlternateContent>
  <xr:revisionPtr revIDLastSave="0" documentId="13_ncr:1_{75B4F733-03EF-4DAB-8DF8-97D001AA6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nsualisation" sheetId="1" r:id="rId1"/>
    <sheet name="Aide de la CAF et coût" sheetId="4" r:id="rId2"/>
    <sheet name="Exemple 1 année incomplète" sheetId="9" r:id="rId3"/>
    <sheet name="Exemple 2 année complète " sheetId="10" r:id="rId4"/>
    <sheet name="Exemple 3 année complète péris" sheetId="11" r:id="rId5"/>
    <sheet name="base" sheetId="8" state="hidden" r:id="rId6"/>
  </sheets>
  <definedNames>
    <definedName name="base">base!$A$2:$S$25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1" l="1"/>
  <c r="G32" i="11"/>
  <c r="AY24" i="11"/>
  <c r="AR24" i="11"/>
  <c r="AK24" i="11"/>
  <c r="AD24" i="11"/>
  <c r="W24" i="11"/>
  <c r="P24" i="11"/>
  <c r="I24" i="11"/>
  <c r="B24" i="11"/>
  <c r="AY19" i="11"/>
  <c r="AR19" i="11"/>
  <c r="AK19" i="11"/>
  <c r="AD19" i="11"/>
  <c r="W19" i="11"/>
  <c r="P19" i="11"/>
  <c r="I19" i="11"/>
  <c r="B19" i="11"/>
  <c r="BC16" i="11"/>
  <c r="BD16" i="11" s="1"/>
  <c r="AV16" i="11"/>
  <c r="AW16" i="11" s="1"/>
  <c r="AO16" i="11"/>
  <c r="AP16" i="11" s="1"/>
  <c r="AH16" i="11"/>
  <c r="AI16" i="11" s="1"/>
  <c r="AA16" i="11"/>
  <c r="AB16" i="11" s="1"/>
  <c r="T16" i="11"/>
  <c r="U16" i="11" s="1"/>
  <c r="M16" i="11"/>
  <c r="N16" i="11" s="1"/>
  <c r="F16" i="11"/>
  <c r="G16" i="11" s="1"/>
  <c r="BC15" i="11"/>
  <c r="BD15" i="11" s="1"/>
  <c r="AV15" i="11"/>
  <c r="AW15" i="11" s="1"/>
  <c r="AO15" i="11"/>
  <c r="AP15" i="11" s="1"/>
  <c r="AH15" i="11"/>
  <c r="AI15" i="11" s="1"/>
  <c r="AA15" i="11"/>
  <c r="AB15" i="11" s="1"/>
  <c r="T15" i="11"/>
  <c r="U15" i="11" s="1"/>
  <c r="M15" i="11"/>
  <c r="N15" i="11" s="1"/>
  <c r="F15" i="11"/>
  <c r="G15" i="11" s="1"/>
  <c r="BC14" i="11"/>
  <c r="BD14" i="11" s="1"/>
  <c r="AV14" i="11"/>
  <c r="AW14" i="11" s="1"/>
  <c r="AO14" i="11"/>
  <c r="AP14" i="11" s="1"/>
  <c r="AH14" i="11"/>
  <c r="AI14" i="11" s="1"/>
  <c r="AA14" i="11"/>
  <c r="AB14" i="11" s="1"/>
  <c r="T14" i="11"/>
  <c r="U14" i="11" s="1"/>
  <c r="M14" i="11"/>
  <c r="N14" i="11" s="1"/>
  <c r="F14" i="11"/>
  <c r="G14" i="11" s="1"/>
  <c r="BC13" i="11"/>
  <c r="BD13" i="11" s="1"/>
  <c r="AV13" i="11"/>
  <c r="AW13" i="11" s="1"/>
  <c r="AO13" i="11"/>
  <c r="AP13" i="11" s="1"/>
  <c r="AH13" i="11"/>
  <c r="AI13" i="11" s="1"/>
  <c r="AA13" i="11"/>
  <c r="AB13" i="11" s="1"/>
  <c r="T13" i="11"/>
  <c r="U13" i="11" s="1"/>
  <c r="M13" i="11"/>
  <c r="N13" i="11" s="1"/>
  <c r="F13" i="11"/>
  <c r="G13" i="11" s="1"/>
  <c r="BC12" i="11"/>
  <c r="BD12" i="11" s="1"/>
  <c r="AV12" i="11"/>
  <c r="AW12" i="11" s="1"/>
  <c r="AO12" i="11"/>
  <c r="AP12" i="11" s="1"/>
  <c r="AH12" i="11"/>
  <c r="AI12" i="11" s="1"/>
  <c r="AA12" i="11"/>
  <c r="AB12" i="11" s="1"/>
  <c r="T12" i="11"/>
  <c r="U12" i="11" s="1"/>
  <c r="M12" i="11"/>
  <c r="N12" i="11" s="1"/>
  <c r="F12" i="11"/>
  <c r="G12" i="11" s="1"/>
  <c r="BC11" i="11"/>
  <c r="BD11" i="11" s="1"/>
  <c r="AV11" i="11"/>
  <c r="AW11" i="11" s="1"/>
  <c r="AO11" i="11"/>
  <c r="AP11" i="11" s="1"/>
  <c r="AH11" i="11"/>
  <c r="AI11" i="11" s="1"/>
  <c r="AA11" i="11"/>
  <c r="AB11" i="11" s="1"/>
  <c r="T11" i="11"/>
  <c r="U11" i="11" s="1"/>
  <c r="M11" i="11"/>
  <c r="N11" i="11" s="1"/>
  <c r="F11" i="11"/>
  <c r="G11" i="11" s="1"/>
  <c r="BC10" i="11"/>
  <c r="BD10" i="11" s="1"/>
  <c r="AV10" i="11"/>
  <c r="AW10" i="11" s="1"/>
  <c r="AO10" i="11"/>
  <c r="AP10" i="11" s="1"/>
  <c r="AH10" i="11"/>
  <c r="AI10" i="11" s="1"/>
  <c r="AA10" i="11"/>
  <c r="AB10" i="11" s="1"/>
  <c r="T10" i="11"/>
  <c r="U10" i="11" s="1"/>
  <c r="M10" i="11"/>
  <c r="N10" i="11" s="1"/>
  <c r="F10" i="11"/>
  <c r="G10" i="11" s="1"/>
  <c r="D5" i="11"/>
  <c r="N32" i="11" s="1"/>
  <c r="G40" i="11" s="1"/>
  <c r="N38" i="10"/>
  <c r="G32" i="10"/>
  <c r="AY24" i="10"/>
  <c r="AR24" i="10"/>
  <c r="AK24" i="10"/>
  <c r="AD24" i="10"/>
  <c r="W24" i="10"/>
  <c r="P24" i="10"/>
  <c r="I24" i="10"/>
  <c r="B24" i="10"/>
  <c r="AY19" i="10"/>
  <c r="AR19" i="10"/>
  <c r="AK19" i="10"/>
  <c r="AD19" i="10"/>
  <c r="W19" i="10"/>
  <c r="P19" i="10"/>
  <c r="I19" i="10"/>
  <c r="B19" i="10"/>
  <c r="BC16" i="10"/>
  <c r="BD16" i="10" s="1"/>
  <c r="AV16" i="10"/>
  <c r="AW16" i="10" s="1"/>
  <c r="AO16" i="10"/>
  <c r="AP16" i="10" s="1"/>
  <c r="AH16" i="10"/>
  <c r="AI16" i="10" s="1"/>
  <c r="AA16" i="10"/>
  <c r="AB16" i="10" s="1"/>
  <c r="T16" i="10"/>
  <c r="U16" i="10" s="1"/>
  <c r="M16" i="10"/>
  <c r="N16" i="10" s="1"/>
  <c r="F16" i="10"/>
  <c r="G16" i="10" s="1"/>
  <c r="BC15" i="10"/>
  <c r="BD15" i="10" s="1"/>
  <c r="AV15" i="10"/>
  <c r="AW15" i="10" s="1"/>
  <c r="AO15" i="10"/>
  <c r="AP15" i="10" s="1"/>
  <c r="AH15" i="10"/>
  <c r="AI15" i="10" s="1"/>
  <c r="AA15" i="10"/>
  <c r="AB15" i="10" s="1"/>
  <c r="T15" i="10"/>
  <c r="U15" i="10" s="1"/>
  <c r="M15" i="10"/>
  <c r="N15" i="10" s="1"/>
  <c r="F15" i="10"/>
  <c r="G15" i="10" s="1"/>
  <c r="BC14" i="10"/>
  <c r="BD14" i="10" s="1"/>
  <c r="AV14" i="10"/>
  <c r="AW14" i="10" s="1"/>
  <c r="AO14" i="10"/>
  <c r="AP14" i="10" s="1"/>
  <c r="AH14" i="10"/>
  <c r="AI14" i="10" s="1"/>
  <c r="AA14" i="10"/>
  <c r="AB14" i="10" s="1"/>
  <c r="T14" i="10"/>
  <c r="U14" i="10" s="1"/>
  <c r="M14" i="10"/>
  <c r="N14" i="10" s="1"/>
  <c r="F14" i="10"/>
  <c r="G14" i="10" s="1"/>
  <c r="BC13" i="10"/>
  <c r="BD13" i="10" s="1"/>
  <c r="AV13" i="10"/>
  <c r="AW13" i="10" s="1"/>
  <c r="AO13" i="10"/>
  <c r="AP13" i="10" s="1"/>
  <c r="AH13" i="10"/>
  <c r="AI13" i="10" s="1"/>
  <c r="AA13" i="10"/>
  <c r="AB13" i="10" s="1"/>
  <c r="T13" i="10"/>
  <c r="U13" i="10" s="1"/>
  <c r="M13" i="10"/>
  <c r="N13" i="10" s="1"/>
  <c r="F13" i="10"/>
  <c r="G13" i="10" s="1"/>
  <c r="BC12" i="10"/>
  <c r="BD12" i="10" s="1"/>
  <c r="AV12" i="10"/>
  <c r="AW12" i="10" s="1"/>
  <c r="AO12" i="10"/>
  <c r="AP12" i="10" s="1"/>
  <c r="AH12" i="10"/>
  <c r="AI12" i="10" s="1"/>
  <c r="AA12" i="10"/>
  <c r="AB12" i="10" s="1"/>
  <c r="T12" i="10"/>
  <c r="U12" i="10" s="1"/>
  <c r="M12" i="10"/>
  <c r="N12" i="10" s="1"/>
  <c r="F12" i="10"/>
  <c r="G12" i="10" s="1"/>
  <c r="BC11" i="10"/>
  <c r="BD11" i="10" s="1"/>
  <c r="AV11" i="10"/>
  <c r="AW11" i="10" s="1"/>
  <c r="AO11" i="10"/>
  <c r="AP11" i="10" s="1"/>
  <c r="AH11" i="10"/>
  <c r="AI11" i="10" s="1"/>
  <c r="AA11" i="10"/>
  <c r="AB11" i="10" s="1"/>
  <c r="T11" i="10"/>
  <c r="U11" i="10" s="1"/>
  <c r="M11" i="10"/>
  <c r="N11" i="10" s="1"/>
  <c r="F11" i="10"/>
  <c r="G11" i="10" s="1"/>
  <c r="BC10" i="10"/>
  <c r="BD10" i="10" s="1"/>
  <c r="AV10" i="10"/>
  <c r="AW10" i="10" s="1"/>
  <c r="AO10" i="10"/>
  <c r="AP10" i="10" s="1"/>
  <c r="AH10" i="10"/>
  <c r="AI10" i="10" s="1"/>
  <c r="AA10" i="10"/>
  <c r="AB10" i="10" s="1"/>
  <c r="T10" i="10"/>
  <c r="U10" i="10" s="1"/>
  <c r="M10" i="10"/>
  <c r="N10" i="10" s="1"/>
  <c r="F10" i="10"/>
  <c r="G10" i="10" s="1"/>
  <c r="D5" i="10"/>
  <c r="N32" i="10" s="1"/>
  <c r="G40" i="10" s="1"/>
  <c r="N38" i="9"/>
  <c r="G32" i="9"/>
  <c r="AY24" i="9"/>
  <c r="AR24" i="9"/>
  <c r="AK24" i="9"/>
  <c r="AD24" i="9"/>
  <c r="W24" i="9"/>
  <c r="P24" i="9"/>
  <c r="I24" i="9"/>
  <c r="B24" i="9"/>
  <c r="AY19" i="9"/>
  <c r="AR19" i="9"/>
  <c r="AK19" i="9"/>
  <c r="AD19" i="9"/>
  <c r="W19" i="9"/>
  <c r="P19" i="9"/>
  <c r="I19" i="9"/>
  <c r="B19" i="9"/>
  <c r="BC16" i="9"/>
  <c r="BD16" i="9" s="1"/>
  <c r="AV16" i="9"/>
  <c r="AW16" i="9" s="1"/>
  <c r="AO16" i="9"/>
  <c r="AP16" i="9" s="1"/>
  <c r="AH16" i="9"/>
  <c r="AI16" i="9" s="1"/>
  <c r="AA16" i="9"/>
  <c r="AB16" i="9" s="1"/>
  <c r="T16" i="9"/>
  <c r="U16" i="9" s="1"/>
  <c r="M16" i="9"/>
  <c r="N16" i="9" s="1"/>
  <c r="F16" i="9"/>
  <c r="G16" i="9" s="1"/>
  <c r="BC15" i="9"/>
  <c r="BD15" i="9" s="1"/>
  <c r="AV15" i="9"/>
  <c r="AW15" i="9" s="1"/>
  <c r="AO15" i="9"/>
  <c r="AP15" i="9" s="1"/>
  <c r="AH15" i="9"/>
  <c r="AI15" i="9" s="1"/>
  <c r="AA15" i="9"/>
  <c r="AB15" i="9" s="1"/>
  <c r="T15" i="9"/>
  <c r="U15" i="9" s="1"/>
  <c r="M15" i="9"/>
  <c r="N15" i="9" s="1"/>
  <c r="F15" i="9"/>
  <c r="G15" i="9" s="1"/>
  <c r="BC14" i="9"/>
  <c r="BD14" i="9" s="1"/>
  <c r="AV14" i="9"/>
  <c r="AW14" i="9" s="1"/>
  <c r="AO14" i="9"/>
  <c r="AP14" i="9" s="1"/>
  <c r="AH14" i="9"/>
  <c r="AI14" i="9" s="1"/>
  <c r="AA14" i="9"/>
  <c r="AB14" i="9" s="1"/>
  <c r="T14" i="9"/>
  <c r="U14" i="9" s="1"/>
  <c r="M14" i="9"/>
  <c r="N14" i="9" s="1"/>
  <c r="F14" i="9"/>
  <c r="G14" i="9" s="1"/>
  <c r="BC13" i="9"/>
  <c r="BD13" i="9" s="1"/>
  <c r="AV13" i="9"/>
  <c r="AW13" i="9" s="1"/>
  <c r="AO13" i="9"/>
  <c r="AP13" i="9" s="1"/>
  <c r="AH13" i="9"/>
  <c r="AI13" i="9" s="1"/>
  <c r="AA13" i="9"/>
  <c r="AB13" i="9" s="1"/>
  <c r="T13" i="9"/>
  <c r="U13" i="9" s="1"/>
  <c r="M13" i="9"/>
  <c r="N13" i="9" s="1"/>
  <c r="F13" i="9"/>
  <c r="G13" i="9" s="1"/>
  <c r="BC12" i="9"/>
  <c r="BD12" i="9" s="1"/>
  <c r="AV12" i="9"/>
  <c r="AW12" i="9" s="1"/>
  <c r="AO12" i="9"/>
  <c r="AP12" i="9" s="1"/>
  <c r="AH12" i="9"/>
  <c r="AI12" i="9" s="1"/>
  <c r="AA12" i="9"/>
  <c r="AB12" i="9" s="1"/>
  <c r="T12" i="9"/>
  <c r="U12" i="9" s="1"/>
  <c r="M12" i="9"/>
  <c r="N12" i="9" s="1"/>
  <c r="F12" i="9"/>
  <c r="G12" i="9" s="1"/>
  <c r="BC11" i="9"/>
  <c r="BD11" i="9" s="1"/>
  <c r="AV11" i="9"/>
  <c r="AW11" i="9" s="1"/>
  <c r="AO11" i="9"/>
  <c r="AP11" i="9" s="1"/>
  <c r="AH11" i="9"/>
  <c r="AI11" i="9" s="1"/>
  <c r="AA11" i="9"/>
  <c r="AB11" i="9" s="1"/>
  <c r="T11" i="9"/>
  <c r="U11" i="9" s="1"/>
  <c r="M11" i="9"/>
  <c r="N11" i="9" s="1"/>
  <c r="F11" i="9"/>
  <c r="G11" i="9" s="1"/>
  <c r="BC10" i="9"/>
  <c r="BD10" i="9" s="1"/>
  <c r="AV10" i="9"/>
  <c r="AW10" i="9" s="1"/>
  <c r="AO10" i="9"/>
  <c r="AP10" i="9" s="1"/>
  <c r="AH10" i="9"/>
  <c r="AI10" i="9" s="1"/>
  <c r="AA10" i="9"/>
  <c r="AB10" i="9" s="1"/>
  <c r="T10" i="9"/>
  <c r="U10" i="9" s="1"/>
  <c r="M10" i="9"/>
  <c r="N10" i="9" s="1"/>
  <c r="F10" i="9"/>
  <c r="G10" i="9" s="1"/>
  <c r="D5" i="9"/>
  <c r="N32" i="9" s="1"/>
  <c r="G40" i="9" s="1"/>
  <c r="AY24" i="1"/>
  <c r="AR24" i="1"/>
  <c r="AK24" i="1"/>
  <c r="AD24" i="1"/>
  <c r="W24" i="1"/>
  <c r="P24" i="1"/>
  <c r="I24" i="1"/>
  <c r="AY19" i="1"/>
  <c r="AR19" i="1"/>
  <c r="AK19" i="1"/>
  <c r="AD19" i="1"/>
  <c r="W19" i="1"/>
  <c r="P19" i="1"/>
  <c r="I19" i="1"/>
  <c r="B24" i="1"/>
  <c r="B19" i="1"/>
  <c r="U27" i="11" l="1"/>
  <c r="U17" i="11"/>
  <c r="AB27" i="11"/>
  <c r="AB17" i="11"/>
  <c r="BD27" i="11"/>
  <c r="BD17" i="11"/>
  <c r="AW27" i="11"/>
  <c r="AW17" i="11"/>
  <c r="G27" i="11"/>
  <c r="G17" i="11"/>
  <c r="AI27" i="11"/>
  <c r="AI17" i="11"/>
  <c r="N27" i="11"/>
  <c r="N17" i="11"/>
  <c r="AP27" i="11"/>
  <c r="AP17" i="11"/>
  <c r="G34" i="11"/>
  <c r="G36" i="11"/>
  <c r="BD27" i="10"/>
  <c r="BD17" i="10"/>
  <c r="N27" i="10"/>
  <c r="N17" i="10"/>
  <c r="AP27" i="10"/>
  <c r="AP17" i="10"/>
  <c r="AB27" i="10"/>
  <c r="AB17" i="10"/>
  <c r="G27" i="10"/>
  <c r="G17" i="10"/>
  <c r="AI27" i="10"/>
  <c r="AI17" i="10"/>
  <c r="U27" i="10"/>
  <c r="U17" i="10"/>
  <c r="AW27" i="10"/>
  <c r="AW17" i="10"/>
  <c r="G34" i="10"/>
  <c r="G36" i="10"/>
  <c r="AW27" i="9"/>
  <c r="AW17" i="9"/>
  <c r="AB27" i="9"/>
  <c r="AB17" i="9"/>
  <c r="BD27" i="9"/>
  <c r="BD17" i="9"/>
  <c r="G17" i="9"/>
  <c r="G27" i="9"/>
  <c r="AI17" i="9"/>
  <c r="AI27" i="9"/>
  <c r="U27" i="9"/>
  <c r="U17" i="9"/>
  <c r="N27" i="9"/>
  <c r="N17" i="9"/>
  <c r="AP27" i="9"/>
  <c r="AP17" i="9"/>
  <c r="G34" i="9"/>
  <c r="G36" i="9"/>
  <c r="AI20" i="11" l="1"/>
  <c r="AI25" i="11" s="1"/>
  <c r="AI19" i="11"/>
  <c r="AI24" i="11" s="1"/>
  <c r="AB20" i="11"/>
  <c r="AB25" i="11" s="1"/>
  <c r="AB19" i="11"/>
  <c r="AB24" i="11" s="1"/>
  <c r="N19" i="11"/>
  <c r="N24" i="11" s="1"/>
  <c r="N20" i="11"/>
  <c r="N25" i="11" s="1"/>
  <c r="G19" i="11"/>
  <c r="G24" i="11" s="1"/>
  <c r="G20" i="11"/>
  <c r="G25" i="11" s="1"/>
  <c r="BD20" i="11"/>
  <c r="BD25" i="11" s="1"/>
  <c r="BD19" i="11"/>
  <c r="BD24" i="11" s="1"/>
  <c r="U20" i="11"/>
  <c r="U25" i="11" s="1"/>
  <c r="U19" i="11"/>
  <c r="U24" i="11" s="1"/>
  <c r="AW20" i="11"/>
  <c r="AW25" i="11" s="1"/>
  <c r="AW19" i="11"/>
  <c r="AW24" i="11" s="1"/>
  <c r="AP19" i="11"/>
  <c r="AP24" i="11" s="1"/>
  <c r="AP20" i="11"/>
  <c r="AP25" i="11" s="1"/>
  <c r="G45" i="11"/>
  <c r="G49" i="11" s="1"/>
  <c r="U20" i="10"/>
  <c r="U25" i="10" s="1"/>
  <c r="U19" i="10"/>
  <c r="U24" i="10" s="1"/>
  <c r="G19" i="10"/>
  <c r="G24" i="10" s="1"/>
  <c r="G20" i="10"/>
  <c r="G25" i="10" s="1"/>
  <c r="G43" i="10" s="1"/>
  <c r="AP19" i="10"/>
  <c r="AP24" i="10" s="1"/>
  <c r="AP20" i="10"/>
  <c r="AP25" i="10" s="1"/>
  <c r="G45" i="10"/>
  <c r="G49" i="10" s="1"/>
  <c r="BD20" i="10"/>
  <c r="BD25" i="10" s="1"/>
  <c r="BD19" i="10"/>
  <c r="BD24" i="10" s="1"/>
  <c r="AW20" i="10"/>
  <c r="AW25" i="10" s="1"/>
  <c r="AW19" i="10"/>
  <c r="AW24" i="10" s="1"/>
  <c r="AI19" i="10"/>
  <c r="AI24" i="10" s="1"/>
  <c r="AI20" i="10"/>
  <c r="AI25" i="10" s="1"/>
  <c r="AB20" i="10"/>
  <c r="AB25" i="10" s="1"/>
  <c r="AB19" i="10"/>
  <c r="AB24" i="10" s="1"/>
  <c r="N19" i="10"/>
  <c r="N24" i="10" s="1"/>
  <c r="N20" i="10"/>
  <c r="N25" i="10" s="1"/>
  <c r="AB20" i="9"/>
  <c r="AB25" i="9" s="1"/>
  <c r="AB19" i="9"/>
  <c r="AB24" i="9" s="1"/>
  <c r="N19" i="9"/>
  <c r="N24" i="9" s="1"/>
  <c r="N20" i="9"/>
  <c r="N25" i="9" s="1"/>
  <c r="G19" i="9"/>
  <c r="G24" i="9" s="1"/>
  <c r="G20" i="9"/>
  <c r="G25" i="9" s="1"/>
  <c r="BD20" i="9"/>
  <c r="BD25" i="9" s="1"/>
  <c r="BD19" i="9"/>
  <c r="BD24" i="9" s="1"/>
  <c r="AW20" i="9"/>
  <c r="AW25" i="9" s="1"/>
  <c r="AW19" i="9"/>
  <c r="AW24" i="9" s="1"/>
  <c r="G45" i="9"/>
  <c r="G49" i="9" s="1"/>
  <c r="AP19" i="9"/>
  <c r="AP24" i="9" s="1"/>
  <c r="AP20" i="9"/>
  <c r="AP25" i="9" s="1"/>
  <c r="U20" i="9"/>
  <c r="U25" i="9" s="1"/>
  <c r="U19" i="9"/>
  <c r="U24" i="9" s="1"/>
  <c r="G42" i="9" s="1"/>
  <c r="G51" i="9" s="1"/>
  <c r="AI19" i="9"/>
  <c r="AI24" i="9" s="1"/>
  <c r="AI20" i="9"/>
  <c r="AI25" i="9" s="1"/>
  <c r="G43" i="11" l="1"/>
  <c r="G42" i="11"/>
  <c r="G51" i="11" s="1"/>
  <c r="F51" i="10"/>
  <c r="G52" i="10"/>
  <c r="F42" i="10"/>
  <c r="G42" i="10"/>
  <c r="G51" i="10" s="1"/>
  <c r="G55" i="10" s="1"/>
  <c r="G43" i="9"/>
  <c r="F51" i="9" s="1"/>
  <c r="F51" i="11" l="1"/>
  <c r="F42" i="11"/>
  <c r="G52" i="11"/>
  <c r="G53" i="11" s="1"/>
  <c r="G53" i="10"/>
  <c r="G52" i="9"/>
  <c r="F42" i="9"/>
  <c r="G55" i="11" l="1"/>
  <c r="G53" i="9"/>
  <c r="G55" i="9"/>
  <c r="D5" i="1" l="1"/>
  <c r="N32" i="1" s="1"/>
  <c r="Z22" i="4" l="1"/>
  <c r="I42" i="4" s="1"/>
  <c r="Y4" i="4"/>
  <c r="Y6" i="4"/>
  <c r="X21" i="4"/>
  <c r="I31" i="4" s="1"/>
  <c r="Y22" i="4"/>
  <c r="Y5" i="4"/>
  <c r="Y7" i="4"/>
  <c r="Z21" i="4"/>
  <c r="I41" i="4" s="1"/>
  <c r="X24" i="4"/>
  <c r="X4" i="4"/>
  <c r="X6" i="4"/>
  <c r="X18" i="4"/>
  <c r="X22" i="4"/>
  <c r="X5" i="4"/>
  <c r="X7" i="4"/>
  <c r="Y21" i="4"/>
  <c r="AD22" i="4" l="1"/>
  <c r="I32" i="4"/>
  <c r="AD21" i="4"/>
  <c r="A36" i="4"/>
  <c r="A41" i="4" s="1"/>
  <c r="AF22" i="4"/>
  <c r="AE21" i="4"/>
  <c r="AE6" i="4"/>
  <c r="AE22" i="4"/>
  <c r="A31" i="4"/>
  <c r="AD5" i="4"/>
  <c r="AE5" i="4"/>
  <c r="I36" i="4"/>
  <c r="I37" i="4"/>
  <c r="AD4" i="4"/>
  <c r="AF21" i="4"/>
  <c r="AD7" i="4"/>
  <c r="AE4" i="4"/>
  <c r="AE7" i="4"/>
  <c r="AD6" i="4"/>
  <c r="BC16" i="1"/>
  <c r="BC15" i="1"/>
  <c r="BC14" i="1"/>
  <c r="BC13" i="1"/>
  <c r="BC12" i="1"/>
  <c r="BC11" i="1"/>
  <c r="BC10" i="1"/>
  <c r="AV16" i="1"/>
  <c r="AV15" i="1"/>
  <c r="AV14" i="1"/>
  <c r="AV13" i="1"/>
  <c r="AV12" i="1"/>
  <c r="AV11" i="1"/>
  <c r="AV10" i="1"/>
  <c r="AO16" i="1"/>
  <c r="AO15" i="1"/>
  <c r="AO14" i="1"/>
  <c r="AO13" i="1"/>
  <c r="AO12" i="1"/>
  <c r="AO11" i="1"/>
  <c r="AO10" i="1"/>
  <c r="AH16" i="1"/>
  <c r="AH15" i="1"/>
  <c r="AH14" i="1"/>
  <c r="AH13" i="1"/>
  <c r="AH12" i="1"/>
  <c r="AH11" i="1"/>
  <c r="AH10" i="1"/>
  <c r="AA16" i="1"/>
  <c r="AA15" i="1"/>
  <c r="AA14" i="1"/>
  <c r="AA13" i="1"/>
  <c r="AA12" i="1"/>
  <c r="AA11" i="1"/>
  <c r="AA10" i="1"/>
  <c r="T16" i="1"/>
  <c r="T15" i="1"/>
  <c r="T14" i="1"/>
  <c r="T13" i="1"/>
  <c r="T12" i="1"/>
  <c r="T11" i="1"/>
  <c r="T10" i="1"/>
  <c r="M16" i="1"/>
  <c r="M15" i="1"/>
  <c r="M14" i="1"/>
  <c r="M13" i="1"/>
  <c r="M12" i="1"/>
  <c r="M11" i="1"/>
  <c r="M10" i="1"/>
  <c r="F16" i="1"/>
  <c r="F15" i="1"/>
  <c r="F14" i="1"/>
  <c r="F13" i="1"/>
  <c r="F12" i="1"/>
  <c r="F11" i="1"/>
  <c r="F10" i="1"/>
  <c r="G32" i="1" l="1"/>
  <c r="BD16" i="1"/>
  <c r="AW16" i="1"/>
  <c r="AP16" i="1"/>
  <c r="AI16" i="1"/>
  <c r="AB16" i="1"/>
  <c r="U16" i="1"/>
  <c r="N16" i="1"/>
  <c r="G16" i="1"/>
  <c r="BD15" i="1"/>
  <c r="AW15" i="1"/>
  <c r="AP15" i="1"/>
  <c r="AI15" i="1"/>
  <c r="AB15" i="1"/>
  <c r="U15" i="1"/>
  <c r="N15" i="1"/>
  <c r="G15" i="1"/>
  <c r="BD14" i="1"/>
  <c r="AW14" i="1"/>
  <c r="AP14" i="1"/>
  <c r="AI14" i="1"/>
  <c r="AB14" i="1"/>
  <c r="U14" i="1"/>
  <c r="N14" i="1"/>
  <c r="G14" i="1"/>
  <c r="BD13" i="1"/>
  <c r="AW13" i="1"/>
  <c r="AP13" i="1"/>
  <c r="AI13" i="1"/>
  <c r="AB13" i="1"/>
  <c r="U13" i="1"/>
  <c r="N13" i="1"/>
  <c r="G13" i="1"/>
  <c r="BD12" i="1"/>
  <c r="AW12" i="1"/>
  <c r="AP12" i="1"/>
  <c r="AI12" i="1"/>
  <c r="AB12" i="1"/>
  <c r="U12" i="1"/>
  <c r="N12" i="1"/>
  <c r="G12" i="1"/>
  <c r="BD11" i="1"/>
  <c r="AW11" i="1"/>
  <c r="AP11" i="1"/>
  <c r="AI11" i="1"/>
  <c r="AB11" i="1"/>
  <c r="U11" i="1"/>
  <c r="N11" i="1"/>
  <c r="G11" i="1"/>
  <c r="BD10" i="1"/>
  <c r="AW10" i="1"/>
  <c r="AP10" i="1"/>
  <c r="AI10" i="1"/>
  <c r="AB10" i="1"/>
  <c r="U10" i="1"/>
  <c r="N10" i="1"/>
  <c r="G10" i="1"/>
  <c r="G36" i="1" l="1"/>
  <c r="G34" i="1"/>
  <c r="N17" i="1"/>
  <c r="N27" i="1"/>
  <c r="AB17" i="1"/>
  <c r="AB27" i="1"/>
  <c r="BD17" i="1"/>
  <c r="BD27" i="1"/>
  <c r="U27" i="1"/>
  <c r="U17" i="1"/>
  <c r="AI27" i="1"/>
  <c r="AI17" i="1"/>
  <c r="AW27" i="1"/>
  <c r="AW17" i="1"/>
  <c r="AP17" i="1"/>
  <c r="AP27" i="1"/>
  <c r="G27" i="1"/>
  <c r="G17" i="1"/>
  <c r="G19" i="1" s="1"/>
  <c r="AP20" i="1" l="1"/>
  <c r="AP25" i="1" s="1"/>
  <c r="AP19" i="1"/>
  <c r="AP24" i="1" s="1"/>
  <c r="U20" i="1"/>
  <c r="U25" i="1" s="1"/>
  <c r="U19" i="1"/>
  <c r="U24" i="1" s="1"/>
  <c r="AB19" i="1"/>
  <c r="AB24" i="1" s="1"/>
  <c r="AB20" i="1"/>
  <c r="AB25" i="1" s="1"/>
  <c r="N20" i="1"/>
  <c r="N25" i="1" s="1"/>
  <c r="N19" i="1"/>
  <c r="N24" i="1" s="1"/>
  <c r="AW20" i="1"/>
  <c r="AW25" i="1" s="1"/>
  <c r="AW19" i="1"/>
  <c r="AW24" i="1" s="1"/>
  <c r="AI20" i="1"/>
  <c r="AI25" i="1" s="1"/>
  <c r="AI19" i="1"/>
  <c r="AI24" i="1" s="1"/>
  <c r="BD19" i="1"/>
  <c r="BD24" i="1" s="1"/>
  <c r="BD20" i="1"/>
  <c r="BD25" i="1" s="1"/>
  <c r="G45" i="1"/>
  <c r="G49" i="1" s="1"/>
  <c r="E21" i="4" s="1"/>
  <c r="G20" i="1"/>
  <c r="G25" i="1" s="1"/>
  <c r="G24" i="1"/>
  <c r="G43" i="1" l="1"/>
  <c r="F42" i="1" s="1"/>
  <c r="G42" i="1"/>
  <c r="E20" i="4"/>
  <c r="E23" i="4"/>
  <c r="E22" i="4"/>
  <c r="G52" i="1" l="1"/>
  <c r="F51" i="1"/>
  <c r="G51" i="1"/>
  <c r="G53" i="1" l="1"/>
  <c r="G55" i="1"/>
  <c r="N38" i="1"/>
  <c r="G40" i="1"/>
  <c r="E10" i="4" l="1"/>
  <c r="E8" i="4"/>
  <c r="E24" i="4"/>
  <c r="E12" i="4" l="1"/>
  <c r="E14" i="4" s="1"/>
  <c r="E18" i="4" s="1"/>
  <c r="F20" i="4" s="1"/>
  <c r="E26" i="4" l="1"/>
  <c r="J37" i="4" s="1"/>
  <c r="K37" i="4" s="1"/>
  <c r="F21" i="4"/>
  <c r="J31" i="4"/>
  <c r="K31" i="4" s="1"/>
  <c r="J42" i="4" l="1"/>
  <c r="K42" i="4" s="1"/>
  <c r="J32" i="4"/>
  <c r="K32" i="4" s="1"/>
  <c r="J36" i="4"/>
  <c r="K36" i="4" s="1"/>
  <c r="J41" i="4"/>
  <c r="K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00000000-0006-0000-0000-00002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00000000-0006-0000-0000-00002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00000000-0006-0000-0000-00003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00000000-0006-0000-0000-00005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00000000-0006-0000-0000-00005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00000000-0006-0000-0000-00005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00000000-0006-0000-0000-00005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00000000-0006-0000-0000-00005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00000000-0006-0000-0000-00005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00000000-0006-0000-0000-00005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00000000-0006-0000-0000-00005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00000000-0006-0000-0000-00005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00000000-0006-0000-0000-00005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00000000-0006-0000-0000-00005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00000000-0006-0000-0000-00005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00000000-0006-0000-0000-00006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00000000-0006-0000-0000-00006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00000000-0006-0000-0000-00006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00000000-0006-0000-0000-00006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0000000-0006-0000-0000-00006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00000000-0006-0000-0000-00006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00000000-0006-0000-0000-00006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00000000-0006-0000-0000-00006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00000000-0006-0000-0000-00006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00000000-0006-0000-0000-00006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00000000-0006-0000-0000-00006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00000000-0006-0000-0000-00006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00000000-0006-0000-0000-00006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0000000-0006-0000-0000-00006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0000000-0006-0000-0000-00006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00000000-0006-0000-0000-00006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00000000-0006-0000-0000-00007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00000000-0006-0000-0000-00007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0000000-0006-0000-0000-00007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00000000-0006-0000-0000-00007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00000000-0006-0000-0000-00007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0000000-0006-0000-0000-00007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00000000-0006-0000-0000-00007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00000000-0006-0000-0000-00007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00000000-0006-0000-0000-00007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00000000-0006-0000-0000-00007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0000000-0006-0000-0000-00007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00000000-0006-0000-0000-00007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0000000-0006-0000-0000-00007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00000000-0006-0000-0000-00007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00000000-0006-0000-0000-00007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00000000-0006-0000-0000-00007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00000000-0006-0000-0000-00008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00000000-0006-0000-0000-00008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00000000-0006-0000-0000-00008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00000000-0006-0000-0000-00008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00000000-0006-0000-0000-00008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00000000-0006-0000-0000-00008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00000000-0006-0000-0000-00008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00000000-0006-0000-0000-00008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00000000-0006-0000-0000-00008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0000000-0006-0000-0000-00008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00000000-0006-0000-0000-00008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0000000-0006-0000-0000-00008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00000000-0006-0000-0000-00008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00000000-0006-0000-0000-00008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00000000-0006-0000-0000-00008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0000000-0006-0000-0000-00008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00000000-0006-0000-0000-00009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00000000-0006-0000-0000-00009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00000000-0006-0000-0000-00009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00000000-0006-0000-0000-00009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00000000-0006-0000-0000-00009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00000000-0006-0000-0000-00009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00000000-0006-0000-0000-00009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00000000-0006-0000-0000-00009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00000000-0006-0000-0000-00009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00000000-0006-0000-0000-00009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000000-0006-0000-0000-00009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00000000-0006-0000-0000-00009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00000000-0006-0000-0000-00009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00000000-0006-0000-0000-00009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00000000-0006-0000-0000-00009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00000000-0006-0000-0000-00009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0000000-0006-0000-0000-0000A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00000000-0006-0000-0000-0000A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00000000-0006-0000-0000-0000A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00000000-0006-0000-0000-0000A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00000000-0006-0000-0000-0000A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00000000-0006-0000-0000-0000A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00000000-0006-0000-0000-0000A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00000000-0006-0000-0000-0000A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00000000-0006-0000-0000-0000A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00000000-0006-0000-0000-0000A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00000000-0006-0000-0000-0000A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00000000-0006-0000-0000-0000A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00000000-0006-0000-0000-0000A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00000000-0006-0000-0000-0000A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00000000-0006-0000-0000-0000A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00000000-0006-0000-0000-0000A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00000000-0006-0000-0000-0000B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00000000-0006-0000-0000-0000B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00000000-0006-0000-0000-0000B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00000000-0006-0000-0000-0000B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0000000-0006-0000-0000-0000B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00000000-0006-0000-0000-0000B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00000000-0006-0000-0000-0000B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00000000-0006-0000-0000-0000B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00000000-0006-0000-0000-0000B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00000000-0006-0000-0000-0000B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00000000-0006-0000-0000-0000B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00000000-0006-0000-0000-0000B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00000000-0006-0000-0000-0000B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00000000-0006-0000-0000-0000B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00000000-0006-0000-0000-0000B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00000000-0006-0000-0000-0000B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00000000-0006-0000-0000-0000C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00000000-0006-0000-0000-0000C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00000000-0006-0000-0000-0000C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00000000-0006-0000-0000-0000C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00000000-0006-0000-0000-0000C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00000000-0006-0000-0000-0000C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00000000-0006-0000-0000-0000C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0000000-0006-0000-0000-0000C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00000000-0006-0000-0000-0000C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0000000-0006-0000-0000-0000C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00000000-0006-0000-0000-0000C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00000000-0006-0000-0000-0000C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00000000-0006-0000-0000-0000C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00000000-0006-0000-0000-0000C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00000000-0006-0000-0000-0000C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00000000-0006-0000-0000-0000C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00000000-0006-0000-0000-0000D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00000000-0006-0000-0000-0000D1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00000000-0006-0000-0000-0000D2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00000000-0006-0000-0000-0000D3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00000000-0006-0000-0000-0000D4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00000000-0006-0000-0000-0000D5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0000000-0006-0000-0000-0000D6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00000000-0006-0000-0000-0000D7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00000000-0006-0000-0000-0000D8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00000000-0006-0000-0000-0000D9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00000000-0006-0000-0000-0000DA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00000000-0006-0000-0000-0000DB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00000000-0006-0000-0000-0000DC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0000000-0006-0000-0000-0000DD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00000000-0006-0000-0000-0000DE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0000000-0006-0000-0000-0000DF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00000000-0006-0000-0000-0000E00000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C082CF3D-C062-47FA-B241-7E167A8A8F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50293CEE-8E6C-4CAD-9B4B-A5F13ADD06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8B817D17-AA57-4361-BF08-E8E25CF656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5A750A6C-ED10-4529-A88A-EE69D18801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BE1B130C-B26D-48C9-B4F6-4FB1F4036A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166AA754-DDA4-4749-A559-A1A93C7A18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FF472178-9E64-4520-BC22-84170F6A9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4AB29773-CBB4-4898-BD7F-B80C3DE7CB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E7D47CC7-073F-4750-B628-08E01BA39A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BA0D930A-D28C-4C35-B971-A95F69FC2C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71111835-DAE8-43BF-A53E-F70892F359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75459A91-5F66-4937-9D02-8E3302AA35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C0AA158C-5420-4B56-813D-9C3D300BA7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F1A141BC-4DC8-4F14-BC9A-9FB63911F1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5F059EB5-489F-42C3-B7D8-C2613B9EB2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6EFBFEA-5BBC-46E6-9C2B-8885544715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339CA986-760D-4619-8E11-1BD1613602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73D39BAF-2FEF-40A6-AD2A-E42C179CE7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8840F800-9A2D-442A-84B2-7DED867734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B5FA8885-DD00-4F4A-A321-D0575502A5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E5B281BD-743C-462B-B4B0-E7BD01AE2C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BB3A4164-EA8B-4925-8ED6-4CFD4E7B8E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C49A4022-D5BA-4120-A3C8-0CD6A00F28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58D30118-85A9-4340-BC53-E21FCF417B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A14783A3-108C-4AA2-A4EE-30604A1DF9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0D0892FC-6B1F-496A-B5D4-9FD2E97736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0025613E-E76C-4C41-893F-E4BBA90CC4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D385677A-4E5E-4214-AB7D-09AD25794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622A9916-D60B-4E22-9F9D-04EB05916E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42DDAA15-3284-46D8-B38F-896E8D3F35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1AEDB08C-F893-440A-B515-F38E026A1E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70F83BB2-9FA1-451F-8A58-424731D3DB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58CF5656-2F9C-415C-9BCA-0426ABF92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9B3C7B5C-1943-43F1-B372-30815E65B9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38719E10-8571-4CE1-A721-F4446707A8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2690A66E-DB20-4468-8FD3-D50155C69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E68690DE-8257-4BA9-B452-1358AFDC12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F91D541B-3FA3-4715-9ABE-5C54FF035F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CE6DA39-95DA-43EC-B3D3-A5E62A84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DAF48AC6-531B-4BFE-A117-B8CC2942573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70918DE6-6C8F-488B-9D1B-E1AA612AFF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5D948774-7EAA-42E4-BBF7-EF64C8A7FE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5353A653-5F03-4D3A-97AA-6A053462AC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62A04746-4D24-427E-AC21-DB34FC18453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77AB5146-B643-4C99-8744-3379DF282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5E46CAD9-CFD9-4DC2-9DDC-D5C7A6DA87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910931D4-8D44-4934-A55F-697FE50D4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57147663-B0EE-4860-947A-58999A814E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CC364FF1-0F53-4534-B5AC-EC6C152B2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2EC5E63E-15F9-4668-8E11-4A0FCC9F43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F3638ED7-3598-497D-AD53-EC741F180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B0F72EA-4659-41CC-AD00-19564361A1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B714FAAC-1F1C-4C84-81D9-7E127CC278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E81F2F11-C1F7-42ED-8F1B-94DF6394BE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67BCB204-77DE-4EB1-9914-8E682EBFC5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46BC70CF-2881-4F41-A9C4-6D47381D2B6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4EB93BB8-BE8E-48F9-83CA-0EC5E05AD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9F64BECF-18D4-4123-8D36-39B01987F9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529B0D1C-9D58-4645-AF0B-85E97A5149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799B9DB5-4866-443A-9E88-141F103BED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62F13B9-76FF-4886-A090-E2D4962F76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1CCFAFC5-E293-4CB6-8E9B-11816CCF89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AA54BFC0-B951-474F-BD2D-06D9EB8F32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FC9727DD-2868-4573-B833-A86E76C175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B99782A1-BD79-48B5-8D22-CA74C26963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6DAC64B4-874F-459F-9536-B8AB11260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D74B774E-7E4F-4924-85F4-99C7BED50C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A840C1-D582-4798-8F8D-BC0166EF86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937364FC-E5C0-4795-8FB9-572D4A446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9D3FA96C-87CA-492B-B4E2-31CD20BF55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42FD556C-AB57-43F2-B9AD-F18AE3733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71D5892D-EA86-43DD-AF5D-E217F77F96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E7661921-8544-4B52-B237-5E74C62FA2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39B37565-D5AA-45EC-8B45-B2CA52647F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80F75A92-410E-4320-9C56-EE82FEA6B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670BA415-9C5C-469D-8072-4864353272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65A45BE6-9CD3-457C-B300-C024735A9B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CAA2AAA9-8200-427D-8C5A-33CD3DB793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D2A77FB8-A370-4271-BE54-E2303AB021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A668323D-18BC-4E13-BDC9-862E407FB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361F7B05-EC55-4DCC-B6E7-824C068218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7B25A76F-AC09-4F90-80E2-33DA0D007F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D775B8E4-FDDC-42E4-889F-3DBD829425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5F751AA5-7BC7-48F7-8EC4-86BFF00492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A63EBD7A-9BC7-4165-B349-BA22E522C7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87AD714-4252-4C42-805F-7F06FC553F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AB83C1DB-BB76-4F73-AC0F-C4CC9C2C9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EA224D98-6CAF-4EC2-969A-A2B72C4517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7846A67-AFA1-4C04-ABB4-6D4112684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76323E0-CF3E-43C8-8E00-08CF42DB4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11B76E3E-C573-4269-AF34-FAADCC6EC4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5F5DA91C-004F-4463-A0BA-7815D9CDD10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23C9304A-68A8-45FD-B170-2AA9B00725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BA4EC208-F8D7-4E27-8C15-3AA85F178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367ED335-25AF-42BE-AD6C-9864125C1E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AF55F3A0-66A5-42A0-9584-273DB5AE72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51AEA564-976F-43F2-A979-F1408F3BBF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AC112326-BB64-4F59-B719-047F7B7F04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DD14592-DD72-4DE4-88D9-1EE3E6CA7C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02773A54-EC95-427F-82E1-7DC2095C2A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EF7D9508-63ED-4017-BCD7-6E1AB1D366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F08051F5-1B7E-4BAD-9A39-9FDC644943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4362B22C-3AD5-466E-8198-F866CC70B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A45868F0-B1FF-4BEC-B259-EBE82A54B0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DA188777-CC15-4F03-AF64-EA3D6F467C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6AB3E241-FC0F-4E9A-ADC8-24441B515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1E2BC591-4E71-48F6-9CF6-2E1D017091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A354D08-2760-4FEA-AFA9-117D7FD8B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02076DB9-3610-40F5-BF03-9FD0D2196F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6DB58F0-E199-4649-B2D3-5C87406CCB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C2AC161B-ADFB-472C-B598-C09B3AD5AE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A79254FE-26F2-412C-9F20-9F272DFC3BD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FA710D6-803D-4402-9633-E866BDB848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06D2A392-DEE3-4D11-BC98-B5EFF6653C8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53ED3833-7D05-4B5A-AADD-9375923659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F6025136-CC46-4243-A4F8-F0946C80F9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0EDE2336-719B-4C61-983A-92125DC07B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C870B876-FE51-45A9-A0F3-7F8DF888F0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95E3E2E-AAE1-45BE-8F11-CE1ABE9415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CEB9903E-7F85-4651-99FD-5C9FF9A8D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AADB508A-530B-4871-A0DF-6D6A0A81B1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B308150C-76E4-4461-930D-CC9F002626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3BE06BE8-D9BA-47B4-AC32-7B65890F9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59671BB4-5D68-4431-ADE6-8ED79FAB87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8F75BFCA-C5C2-4F9B-BAE4-B0CC2CBA66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D025FDC7-6022-417B-9535-C061962C44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AB1E0B04-2B4D-4618-B482-E07BD3A80A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FB21A32D-51A8-4DBA-B074-3516431080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2AF80A6A-F654-47DB-AD6B-02ACB49D2C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C914EF25-CDCF-41BA-B88F-F584878796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36299A26-5BE3-47DE-8E19-8CD361AE9E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05120FD-84D1-43BF-A976-7916587A2F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A1B74E1-839E-4BCA-8424-9AB45B6F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C5345CB7-F6D0-49ED-9EE6-D23257A9C2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AEED6D0A-0B3F-413B-8AFE-373C3AEF2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A3ADDC3E-AD7A-4D9A-A89D-94662238CC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85A90E90-4B2B-4F12-8653-655075735B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B701D836-B23A-4A47-B3D0-FCFFA433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CB32E126-C1E5-4C99-87BE-8EAAB9EDA6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CAE3E7B2-260D-426D-ABC9-342BC1DB0C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8C00841C-8DC0-4574-815B-D416BCFC5FA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29402374-BCDA-4625-A5FB-80B206E6A7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0F04B333-D29A-44F0-8143-8CB8B256B5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51E18246-8DF7-457B-973A-B9B8CCBB1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125A781-CC9A-426A-B649-F8FCF5A3E7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F123C44A-2329-49B6-BDB7-E7ED6E4670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872EEE2B-58D4-42A8-8A41-123EC8042C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6AE8AA22-AC24-4B58-BC96-F2ADEFD621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C82A8282-6159-4330-B186-50D8F1A3DE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1C413560-6740-4E62-86BD-C067B21F77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4335799A-2C9A-42D9-A10F-2A4367CC34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EA5F2311-A26A-4457-8459-BD8B099185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55F56A2E-C41F-4B46-A9AA-C3139BD011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3066D123-F18D-4D46-9AEC-94149C485C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B9781082-C82B-41BA-9860-86ACCBB606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82D2C551-C4F2-4D7E-9DE3-68F210AC42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C6934829-8CF0-4016-BC50-00D2159E26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70A4C83B-F141-4881-9ABB-9FA610B54C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B039019-D247-4F50-837C-90BA8D6EB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6E739A6B-6867-426D-8859-A78C35EF7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9C31F800-6CA9-4E0E-9754-A5DDF06A3E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FFE1775-6A0E-444A-8BB8-D57992AC3C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D20C39A2-F6F1-4EAF-A1A2-3227116CF9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AF76F1B3-52DD-4D1B-B872-1C4E0C4CA0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B023AD5-0085-430A-AC9F-102C4018EA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D9887D1-4276-4011-858B-EBEE1F3092C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C3E20D36-4294-4A73-855C-8B3A992CAD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74E854BB-3C32-4BD3-B8D2-CE49DCE4FD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9998B604-BC75-4D63-AC62-55C6D8D3F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26C45A8D-3809-4AF5-91D0-4642CE061A8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A92E3B91-0245-4DFD-81C1-45DE3941B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1E6942F9-0F3A-4633-8211-FF40EE568A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D9D927FA-825B-4466-80BD-1BEE9E5617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26906C24-BFB1-42EC-BDA1-03EAAAB51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167426A8-8832-48DC-9BAD-5D743C0CDA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3F242D81-A786-40AA-AED9-0A43D53FB5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F681137C-7146-412D-A083-A75A6DF810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2FD36BF8-BA88-4FB8-B6F5-554978C01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EFDF1403-E140-4952-880E-49717DEE04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D819851A-25DD-4EFF-9BCE-5F97D66234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2960BC06-92D6-4AAC-939B-FF5BCB6AEF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24DD3767-CC3B-4C5A-9FD7-D4257752C8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A4F3AE8E-379C-4BFA-80E1-EE84B8BC35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88D49FBF-7CAF-4C6B-BD9D-E0CA73356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D0A1918A-8845-4BC3-B3C4-F167E20F7D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8F3FAB59-3CCD-4EB8-A89D-C7835B93917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96E1860E-474E-4E68-935B-CE048BDD7A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E8A44BF5-4699-4C1E-96C3-55E8F46404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A09A9DD-1323-4C4C-9377-C3F11E1A210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218AE71E-52CE-4E0D-9DC4-11A74FD25F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AC683BF4-46F4-4A49-BDFB-10C801F4FC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D27AAD1-6BA4-4F3A-8B1D-FB1E4F2805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19F342C0-AE40-4E50-917D-A895E7874B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EE6FC84E-C50C-4810-A1B3-BEEBD35487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8F44EA8-4725-49B9-A988-01ABDB4211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E670DF97-1AEE-4531-B727-7F1E0B477E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B26124-8658-4D3C-A933-8120F6F5C5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6F88CCE4-2888-476F-BA77-582A969359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68769FFA-E53B-4338-ABD9-E39138E9525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99E09DA4-6BD7-492D-9A5B-9DEB14A7D0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E8142863-9B65-4CDB-8674-FE34F93689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F5E7D3E6-77F8-44E3-9234-3934426DFB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3FBDC4C5-C5E7-40B8-B4E2-A466385FDD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CFB544F5-9451-4DE9-A9F2-A6C3EE8BD0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49F0D03E-7781-4AA5-AB84-8A78A53C8DC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6FE4D0B2-7A7E-4F8F-9C10-0C47F1D9EA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249006AE-8C33-4910-BFDD-0F5CD24E5A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E245AA7E-3890-4D44-92E4-8DA33D77A3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3B92E1D3-E039-4264-A94A-758DC7017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A1F0973-FFB7-43B2-BFC5-8A45DC919A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B7A8D4BB-608D-4100-8B60-6F58F43B44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828E559-5AAF-43BD-AA2A-538F9EE1DE9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6107D94A-20CB-4DE1-B47A-3B312F4B1E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061D0ABA-7040-4E02-A3C5-42D970D0DC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E851B449-3C3A-443A-91EB-B81648380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1B6224A-BCDE-48E0-9385-FB23C96128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AD98A57C-3A2B-415C-898B-5CF5FFB28B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3C5565D7-DBA5-4242-AAB0-6A1F10540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ED744BE1-A79E-4335-9BB1-EC7CAEBBC0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B068F836-57A0-4004-8820-7107A8FE50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FE7A067A-646D-48A2-8381-9EF87D300A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E3E1A7-7257-4253-9FB7-B5F05CCD70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8F5CFB9-E7F0-42C1-A9BA-200037B02F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50929FEA-558A-4DD6-A5E6-B6D04EA10B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02888D66-5673-40E8-A216-149EE08BC4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FBE12360-D0E1-4D73-9DA7-8D4228F81AAF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E7506FCA-BFB7-4899-8B57-BB33E45437A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3A7FF074-8DE5-4B49-AADB-EC5A1590441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A7488775-EB8B-4DC6-A334-CFA45AF6634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948EA23A-C0B0-458E-BE6C-961120D508A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7FBDA06A-E6B0-43E5-BA26-7400F30DD9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6B25C3E-3A61-4FE4-9864-D6B4389D709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A457A354-46D5-4A0A-B3CF-7ED3528F0A5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691B79D9-11C8-4C4C-8AC0-A92D4B1BA3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E7794D0F-3354-4784-BC30-BDE0F8D0B7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7BA2E72B-FE57-4B9C-B8A4-14078FBF80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E662988E-ABBB-4349-AF30-64E81EE8E8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30CB74CA-1295-4C6F-A3B5-166641C483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BA6060FF-2023-4DEC-9BF6-9C8596E2998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876DD57B-B134-46E4-9C02-2F3CFD2C55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8DD7DE8F-AA26-4BF4-BB47-0BC63F9FC2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BA6A2193-8E55-44DF-A9C9-B89521D90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64A96D6B-A620-497C-B045-03731B65BF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C2CA66F2-F61F-4855-BE65-EB08711A80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F8EC276E-15D3-4673-B029-72875C5A85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1DB081AE-D090-40B5-9D6B-C3F0C5D040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7713CA49-E260-46DF-8C5E-6E27527501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D4B66B56-718E-40EE-938E-C43BEBF529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E1353ED-EE4E-439D-A960-F9A15435E74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2052AB27-276E-4E71-BCB9-6AD50A0432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1B46F2D5-CB4F-462A-92A0-C0FAB397F2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2099E36D-7E5E-4776-ABC1-6D918C4C7BE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5EF15F61-CB19-4F75-8575-A0AB34B142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6B6F9CE8-9D3B-4FB5-8099-3DD8974941E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DE633844-EDD2-4EF2-9F1D-483DCF2929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7B03DEF2-7580-4D16-84E3-597E8E85AC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636823FD-BB36-4FCC-97AE-E1083AFA8D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CDF6BB0A-87F3-4154-B66C-09DEE097EF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9AD4639-E4C2-4C11-B187-E39029716F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3DC99666-9AE3-441B-8FDE-497783E3F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087217D3-95B5-4CBE-BAAB-82A53B6762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AD3E88BF-006A-4F82-BE4F-3FBCE77262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F3460342-46DC-42EF-8CF1-B03BE29D5B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E5A07512-A652-4C9D-AE3C-7180BA58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F145CCBB-6A56-47B9-9C77-489A7AB3D5D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CCA55F4E-77C8-414C-82D2-8DDF515373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C439A2EB-D632-426A-A5B6-497C50C50E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899FA80D-306E-4EAA-9326-C52BACC7C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10DC7BB8-A543-4BEB-AAB6-E3541C8DA65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BB93ECA4-E9CF-482B-9AA1-D229FEE512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641D518-D290-4360-866E-2E1EA43CBE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66C0D45C-64BA-42CA-98C7-C01BF7460C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A0ECECBF-98FA-46E3-B5A4-77804718D6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F5C4225-A69C-4390-830B-9CF3DF3A2E4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ABC63EC0-6A7E-4B89-94DE-7B218792FC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37E9EA91-535F-41F4-8DDD-79C592DC352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349B0FA8-509F-48B3-8944-D2FF41D8BF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D89AFEED-6ACF-478C-9A87-D29F78D30C9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79A3107C-ABC2-41E1-ABE2-A9E0DDCCF48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1F9D2E08-B37B-4146-B4B6-D1558B2AE42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3BA743BD-00CC-48DD-8BA6-40333DAE98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36F8EA51-5774-4C93-8DE5-740C6B7593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ABD24A1F-F995-4BF1-81BB-76BC771A32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3B7BD2E9-BBBA-4D5C-A440-38721D48C7E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3E97CBB4-0CEC-4ABC-8F8B-7ADA308A92A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E6EBD345-4EB6-420F-A173-96C9768C25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7B61A3B3-6031-4F01-97F5-1451F6C2454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CA88F565-3240-4546-A3B7-0C7A0D44408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681197B0-5E79-43E7-BA05-6FEE472920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657B9AE6-8C58-4A56-A469-161F979A67C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0FEA8A3E-BD14-440C-84E6-AB2D977866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E8D8B5B8-C682-49A5-9C25-748B9E772A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6FD4AC64-D4D4-494A-98BE-72D8EC908E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49AB5DC3-019F-4A2D-91EB-BCEC05A4CEC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31FEC5EF-33F5-42F2-AF75-FBA9C6B733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828EC26C-E165-4889-8555-CA5D9F14EC9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2A37C1D2-1B88-4456-8B38-E44369C1DB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074EAC36-9C93-40C8-92D2-57E0261CC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8C0C801B-1121-4304-BC0C-FE17F5B2B20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7418EAFA-A4E9-4C7A-A032-C8087462738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7F57F08A-F303-401B-B8DE-AF8EE280A9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E223DA4D-C727-4F14-9A68-F7410F0D41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A66A363-10F0-447D-984E-F127C8A19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3360E1E8-E184-4D5A-BEB5-AA9844CC1D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635D8CF3-724A-4EFA-9FF3-891ABE29D5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25307334-5150-440E-B94D-338300946D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DA854B9A-2CA7-43A4-9722-5DF940ACF5B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48945243-4EF6-4F9F-A41A-0695F7110E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E018BADB-70E0-4AE4-9605-EE357FE02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89AA1314-89E2-42F0-B9C6-6CCFD95648E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583A20AD-7590-4CCE-A2DB-6141174399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2C2741C4-E379-4B13-B0B2-BC5FF0BDE49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6D172CC2-5C3B-4596-923C-5180AF547F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9134163A-B4E9-405F-A3D0-47E34B42A96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39187FC4-EFC3-4FAB-91AF-6D287A87C1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714C6553-994C-4A11-9D97-3D82A35BF41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13B5A020-EF1B-4088-A6A5-31D96BC9EB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F84FB8AC-A568-4194-ABE0-6B38905FF2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A6EBCECA-8A19-45EE-9583-101B316B96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300B96CD-6943-4878-AF85-E7F0F0CC16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FB2A578B-71B2-416C-B7AF-6F31B6CACC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A3307875-A3E1-45F0-93B7-71B1D375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185AE38E-671D-4986-9367-9C858BD90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B6EA76B0-F1B9-45FC-A8C1-AB269B8B63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6E50C682-D226-4AB4-B1F3-5C7F87B77CE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698B9A20-BF86-48DE-B2AC-A95933009D3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73F73D3-5A03-438A-B63B-C39A42475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615B26EC-401D-4FC2-BF6A-C9AE001ABBB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48811D54-1AC6-4FD6-8B1B-AD94CB1873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30BB82B5-2096-4637-84D4-5CDC0CC8FD5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322B61B3-0F16-4FF1-9B6A-B86FFD731B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EBD1E89A-1577-463B-AD59-CEB270039B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876438CC-133D-489D-9902-8983448D4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9EF1513C-22BA-4A36-B74B-E271584C01C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E668F59F-1D53-48E0-9477-C346D4F540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B0057AAC-ACAE-4CB0-BA3C-BD0FD56FFB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26A9B03D-286D-4DED-8F3E-A121FD8CD0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943D1D0E-83DE-4F00-B7AA-68847E442E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292EC67F-05FB-440F-97E5-2DF83418E5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5881E1B-C3BD-4772-878E-D26BB1D17D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891C3439-94ED-49DA-8ED1-7CBEFE0444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7BBCCA21-5DF8-4754-992F-50B131EE8C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E277D442-2B7B-4A6F-BE5E-28711E2814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FD3D987-2212-4161-9B4D-AD92256017E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CDFACECC-1A22-426E-88C2-34A0D0D304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CC6BC658-AC39-49A7-AC40-971CD276568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D8E761C3-5AF3-4390-8478-AD791373CB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443C6BCB-D45D-4C45-9432-5A8BE87F647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D2FFAC8D-2B6E-4690-8DBF-DA1666F256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61930E75-7CF9-46E8-9CD4-D71AB7305D5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22159C45-7A0B-414E-B5F2-179F08000ED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B95D5F1C-FDBF-4BA2-A84D-9DA3FD5A98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F4116D8C-BD6C-4134-A85E-1435F0D38F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B51CA129-316A-4F5D-B896-23E6CC3E2C8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1A51A37A-5BC8-4F2B-B12D-0B21C446E3F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4070697F-DF0D-4201-9DC2-BAAA6B99B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F031D229-94C3-462C-B41A-C818BCC0D69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66758DC3-7203-4AB2-ABC0-0370B9D6D7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BFD7B021-859C-4701-A998-C350494588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E8A06A62-480F-4DBB-8B3C-D5B51AD21A9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8D0D57D1-5FD5-41E2-BABF-09A24FAA502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C24BC5E7-151A-45AF-8618-E7BAF35264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F326D6AE-610B-44A0-BE32-E9CA2745A1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EC7981C9-2EF9-43F6-BD9F-F49DF0AD435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C553EB0B-9B16-4BF7-8A8B-90D8016EF7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B19D6C1D-0612-48B4-96B5-DE3F31E0D0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62EFD26F-A19B-4663-910E-F29A548F3F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35EF09B1-C432-4B98-B660-C3ED97F50F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514FB41A-C84F-4AE6-BA49-34834571028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0E694A47-B585-44E4-B2D9-6857F01DB1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888B57D9-C52B-4DA0-9821-2D1009909D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294A35D5-FABC-421F-8C2A-1A2F58AD9F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74A25327-9547-49B8-BB11-356C7FF410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709ACB3C-599F-48FF-B120-55371AF8AC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19AA7464-F477-4B06-B5A5-8DF46FE83C6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8D50EF6E-07D9-4553-AAB6-5EB6841BA8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FC433874-9408-4907-A103-3C792C997B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F8D28CA5-44E2-4930-8F25-9E8B9BB929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404515CB-C361-45A9-84AA-0839A9DED4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94B50FF2-8F17-4AB1-B2CA-122991339C0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182E2A45-8ABB-415B-84F2-8B829339F4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892398BA-80C7-4625-AAE7-A33DF7859B5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79D8CD06-502C-4299-92A7-56ABF6CCE8D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E2A0D105-67DB-44A8-82C0-93D41D8B4D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CCCEA9FB-5454-4D8B-AD3E-E258F3CCA8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D2A966A5-9CD6-43DE-A404-2A837E5CD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00A507E7-E102-49F6-9240-DFF4C6AC92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B9AC330-06D9-49FE-8DBF-D9957BABA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5DA9558E-E7F2-46CE-B656-1C11DC47A5F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791F2440-E056-4A3D-9F96-2B407DB2D8A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CA521C58-4A42-402C-BF64-FE3F3352EE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E0B61E92-8672-49E8-B124-1C1FB689C4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0805789F-3BFB-47E8-B077-1FCC466AC3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1475B884-5A65-4F4A-ADDB-DBC83686BD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26D88BFF-7922-493B-8052-5E81ACD251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34EC6EA3-1FCD-41ED-B8A4-70417E6ACF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2375B8D5-61A4-4B08-B10A-094FCBF88A1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1BE3A4E3-2343-468E-8479-C48C5FFBA0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320115DC-D1EA-4537-A89C-01EB592D12A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7844EADE-13D8-455C-B560-F414D9E195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EABC2F44-AA1A-4370-8EEB-E7E39C1F63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AFFCC98F-A562-461D-AD96-86C3AB85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86D8AE60-29DC-4073-92DE-63454FA1CA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358EBB37-468C-46EC-A78C-E360F66B943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CF7AB5BF-044F-4F69-B8BE-A37DBC3AB4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52903CB7-17B4-4855-B420-A9A5ECE187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C7649E54-5799-45F2-9EFD-CCE8432D92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E1E9DBE6-ED13-4C83-A3F0-BAF9294EA0B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521A4DAC-9CD0-4575-AC77-DE96589D14E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DD7F8706-0EDB-4FDC-BDD0-7442B3C352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40C94F82-16E5-474B-B350-E64E3BAAC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358B3533-3E66-4BF3-AB3D-26BE7E995B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9B6BFFD3-806A-4025-9C5A-4A711D0358F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73693D12-09BA-454D-AE01-F8C6232CCD3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A60EC462-3002-413F-BA40-D67284BFD1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F3570372-CE55-418F-9B54-03AB3C42836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A6678B63-F577-47F3-8B16-D18E61FFCC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50F2C66D-7C34-4065-A0F5-3730C403A91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1AFE152A-F8F1-4184-900C-AC146C91DCB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A2CA8CC2-C3F4-4A9B-B320-30A1071861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F2C4DAC9-F5B2-494A-9E6C-52AC4D7303F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5EDE7812-A44B-490A-A2FB-7F82477942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7B561774-CE35-45F2-8607-4ECEF8B4E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3796D7A9-1F2E-4A82-A08B-4B0E371DF8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86B4447B-1395-4E52-9063-354233E52C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EA1EC98F-7CFC-4CAB-B113-6D98A974124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54A39C5E-6E09-4AD7-825D-08A6197A5E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9D45C6E6-D054-4F17-BE2D-3B61F4EE194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5CAAB9FD-DB95-48F0-AD07-3362E90813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4B69EB45-1C3F-4F42-9474-AA45DC6A16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5BF6EFF0-D4E0-4B33-AE1A-5FA37A38833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97B05271-3234-47FA-8D48-08C3BE62DF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689AA554-5A75-4D14-A211-5FBD585C689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09E02211-3CE4-444A-B677-8A7AC977F4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53B970A1-047A-4DCC-B98D-8482484B54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19389115-9671-4817-8A37-F385430115B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3E3B664F-7BB3-410D-B46C-F4797BF5252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5AB9EF1F-185E-40F8-B328-AD7FBFE6CA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9D45C144-5042-4830-9BF0-482C407F11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A0B4E282-34AA-425C-877C-BF4581DE8B0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0B39538-A4F4-402C-BA46-C606A4B3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6E9737FB-1110-496D-9FAE-B9345822B65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C178D54A-D514-42CE-9B01-DB180C336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9B2B7A7F-AFE4-41BF-99CD-6884C43E2B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3714928D-8A8D-4521-858A-4EAB1AC670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715C65A9-BB5D-4423-BA64-E11C21C407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AED67628-18B7-4AF8-8E47-6C7768A3AC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7CE7B7A4-392A-4B5F-BCA7-33EFA3574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32173767-D114-406C-B54A-DC32218725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EEC918EB-4B88-4B82-B4F7-F07988FBE2E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57310957-906C-4111-A1DC-CC4AAF11F65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76E2B6C7-0371-40D8-9CCF-A1194979E6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DE92386-7830-42AB-B64E-86A3540E344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65FFE78B-E40E-4AA1-ACFC-A62C170F74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1929820A-32F4-4DAC-8265-F4227E19E3B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6FBE55D7-A755-41BA-843E-1CD7029895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41CDFE01-4B0B-4DEC-9BF3-BD802CEE322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F98160EB-87B4-4951-BA06-6B6B7B0C8B3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DB6DAF2D-3888-4453-BFFC-DB2257CD8FF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6C608A54-2754-4C3F-901D-9587E3216F0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24E9A550-191E-4B52-AF3B-CDC9C4130BDE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E55667CB-79BB-4708-B197-75120416F4C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9A4F66B-8DB7-411D-9CF1-12BA870C32F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5E8A98EE-D6E9-428F-A4FC-ED3C5213104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F5BE78D-45A8-46DE-8252-25F6443FD74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B8EB85A-B958-4458-AEE9-FB6454B0299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9BC8244A-FC9E-4786-98BE-81AE793A9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0" authorId="0" shapeId="0" xr:uid="{CF566BF1-6FA9-4916-AACD-BF9AC7C6BAF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0" authorId="0" shapeId="0" xr:uid="{624AF03A-AEEE-45D0-B9F1-54D411F556B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0" authorId="0" shapeId="0" xr:uid="{2CF3CF56-C76F-48DD-88B1-BCCD52253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0" authorId="0" shapeId="0" xr:uid="{8185F721-B4D7-4DBD-A313-C805BED271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0" authorId="0" shapeId="0" xr:uid="{CD9E9C6D-3DA7-484C-AE51-C3CD085523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0" authorId="0" shapeId="0" xr:uid="{24EAA76D-3322-4532-BE58-0DBD4BC5382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0" authorId="0" shapeId="0" xr:uid="{DC4FD2EF-4DCC-4534-9A5C-5066320F156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0" authorId="0" shapeId="0" xr:uid="{1567C272-2B04-4662-853A-CE553CEF814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0" authorId="0" shapeId="0" xr:uid="{94BBBC38-D518-47B1-AD85-D69E9A2C021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0" authorId="0" shapeId="0" xr:uid="{11FF4DE9-912E-48BF-BCB0-4EF969F599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0" authorId="0" shapeId="0" xr:uid="{8D88B1E9-8EEC-4118-B0F1-D0379C5CE4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0" authorId="0" shapeId="0" xr:uid="{40DFC91D-DA9A-4EDA-8D3D-DF52AA87864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0" authorId="0" shapeId="0" xr:uid="{D1C42DC8-8D09-4274-901F-6F9ADF4525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0" authorId="0" shapeId="0" xr:uid="{9BF1D9C6-5521-49BE-9ADC-325A1FC17E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0" authorId="0" shapeId="0" xr:uid="{55F46681-0FE2-4A8D-A63C-12D3BDF5345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0" authorId="0" shapeId="0" xr:uid="{DB136B4D-0046-4CDE-AC46-2917E766C25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0" authorId="0" shapeId="0" xr:uid="{22DDA91B-B6E2-480D-BD24-E10C12B50F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0" authorId="0" shapeId="0" xr:uid="{0BB89182-D6BA-4552-8E11-906A6F3B3E1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0" authorId="0" shapeId="0" xr:uid="{984DB220-66F6-42AE-963C-1598E2B5D9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0" authorId="0" shapeId="0" xr:uid="{CEF3327D-C4CA-42CC-9609-4E4B8703C4B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0" authorId="0" shapeId="0" xr:uid="{43B60951-92BE-4356-B85D-CE2C67412E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0" authorId="0" shapeId="0" xr:uid="{9D657E1F-AB76-4E39-AD98-D61FE661FB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0" authorId="0" shapeId="0" xr:uid="{3FF0A046-C9E7-41B5-8BFE-B00828EDD17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0" authorId="0" shapeId="0" xr:uid="{B4B52814-0348-4716-82FC-31A36CF37AD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0" authorId="0" shapeId="0" xr:uid="{1244B483-7611-4913-B21C-791CDBDA50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0" authorId="0" shapeId="0" xr:uid="{DF677291-BED5-4B80-A622-FE4DCC229A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0" authorId="0" shapeId="0" xr:uid="{E44E52D0-A1E6-44E4-A74A-1666C26568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0" authorId="0" shapeId="0" xr:uid="{F60BF1C0-CD78-4EAF-8DE9-C4815C6FF89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0" authorId="0" shapeId="0" xr:uid="{E9556CD1-F9BF-4659-8E5B-747F6D23630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0" authorId="0" shapeId="0" xr:uid="{3A897AC6-6AFB-4205-BB1F-6BA965BBA1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0" authorId="0" shapeId="0" xr:uid="{843D05E2-CD22-42AA-A5EE-FB5A154D05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1" authorId="0" shapeId="0" xr:uid="{DF236AEA-24CC-4956-9F2E-5C665B2EF2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1" authorId="0" shapeId="0" xr:uid="{A20B5D60-E35A-46B6-A6CB-900F2A5E23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1" authorId="0" shapeId="0" xr:uid="{CBF223D3-C715-4094-88EC-D9936EF7308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1" authorId="0" shapeId="0" xr:uid="{91A40D99-1773-46D8-971A-A4399C1E93B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1" authorId="0" shapeId="0" xr:uid="{31C72260-62D3-4003-B679-9920B362A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1" authorId="0" shapeId="0" xr:uid="{04E36F4C-4C04-4590-B584-96F073B061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1" authorId="0" shapeId="0" xr:uid="{DE9605B4-8D9A-4317-8941-561E70E494F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1" authorId="0" shapeId="0" xr:uid="{C945E921-45E9-4C3A-B256-5843F0254AF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1" authorId="0" shapeId="0" xr:uid="{F861ECBB-B348-4047-BCA8-DA4CD34888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1" authorId="0" shapeId="0" xr:uid="{10040FAC-6FFE-46C1-A3BD-2F4A1A909B4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1" authorId="0" shapeId="0" xr:uid="{66223BA6-32B7-4A2C-B907-0D680873A0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1" authorId="0" shapeId="0" xr:uid="{A3AC0A16-9C9D-4903-8EDC-5980DCF533C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1" authorId="0" shapeId="0" xr:uid="{40B62D9A-BFB1-40B8-AAD3-4DB29F1630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1" authorId="0" shapeId="0" xr:uid="{07C4FE8D-2766-4CCE-8AC9-73A7E28C21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1" authorId="0" shapeId="0" xr:uid="{224C737F-9B0A-4875-B538-08723B34E7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1" authorId="0" shapeId="0" xr:uid="{4A8C9C81-9C55-4E58-AE07-0284B97CD5F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1" authorId="0" shapeId="0" xr:uid="{EAB5CCED-3510-4D2B-BD49-139A39460D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1" authorId="0" shapeId="0" xr:uid="{E0DAFD53-4428-4EFE-AD4D-26A5E618C7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1" authorId="0" shapeId="0" xr:uid="{AE27CF4A-993F-42F4-A2E4-9DA6211FB5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1" authorId="0" shapeId="0" xr:uid="{7780354C-00ED-4536-AFF3-44449C45AB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1" authorId="0" shapeId="0" xr:uid="{16307AA8-529D-4053-90D2-F33A9A9A11D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1" authorId="0" shapeId="0" xr:uid="{C1BD4C40-515C-4C76-9728-386F11A8B72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1" authorId="0" shapeId="0" xr:uid="{7E1A894B-28EE-4C7B-A866-C9D82FB96D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1" authorId="0" shapeId="0" xr:uid="{57118A5A-9A28-4181-88F8-6278AD5561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1" authorId="0" shapeId="0" xr:uid="{A8A059F2-D874-48AB-85AA-0E9227DB22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1" authorId="0" shapeId="0" xr:uid="{A4214E09-B65E-4EC2-8CEB-A44BB437B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1" authorId="0" shapeId="0" xr:uid="{D4D7A461-C862-42A5-B17E-1DBB1672BC1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1" authorId="0" shapeId="0" xr:uid="{33D80016-5A60-451D-98B6-ECB99B21868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1" authorId="0" shapeId="0" xr:uid="{92F8A214-9150-48D3-B6A3-710A849B28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1" authorId="0" shapeId="0" xr:uid="{AC8AE7E8-CB31-40B2-B4F1-12EA155AC8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1" authorId="0" shapeId="0" xr:uid="{13481220-3D98-4B03-BFA6-260A0802E84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1" authorId="0" shapeId="0" xr:uid="{98E17F64-E13A-43E5-A8CE-3405CB9CB4C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2" authorId="0" shapeId="0" xr:uid="{80A3A585-B19D-43B6-BFB6-2B219E8794A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2" authorId="0" shapeId="0" xr:uid="{7D43B961-7000-4C9B-A486-4D0F74B2F1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2" authorId="0" shapeId="0" xr:uid="{6D973AB6-F21B-4BD4-AC04-26AC151B05F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2" authorId="0" shapeId="0" xr:uid="{DB8CAFC5-2DC1-4D17-A93D-D3DE76A925B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2" authorId="0" shapeId="0" xr:uid="{0A704E1D-1DF2-4CD7-939E-1AE8D464E73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2" authorId="0" shapeId="0" xr:uid="{1EC7C433-2AE1-4BF0-89B9-F6C651C4BB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2" authorId="0" shapeId="0" xr:uid="{5370B6AE-1D9A-495F-A6BC-6A4EFCF6AA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2" authorId="0" shapeId="0" xr:uid="{ADA5563B-3CE3-481E-B685-6641EE1C6A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2" authorId="0" shapeId="0" xr:uid="{4C4AEF9F-230F-4414-A6B7-632EDA84287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2" authorId="0" shapeId="0" xr:uid="{4D870658-6CFC-488B-8374-FAFF489CDCA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2" authorId="0" shapeId="0" xr:uid="{0A9AA5F1-4505-4622-B7BB-E727830D81A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2" authorId="0" shapeId="0" xr:uid="{DFC63C10-BEFC-4A88-A9AB-CF4186AC2F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2" authorId="0" shapeId="0" xr:uid="{9B6A3F73-18D3-46F8-8760-55485BC4BA6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2" authorId="0" shapeId="0" xr:uid="{F9A0C7CB-4BD6-4C93-A16E-823514D685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2" authorId="0" shapeId="0" xr:uid="{C3A8F896-DE31-45CA-8A48-7AECE907C80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2" authorId="0" shapeId="0" xr:uid="{7C83BF00-7B5E-440C-B394-125DDA28319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2" authorId="0" shapeId="0" xr:uid="{F4E89F71-7B90-44CA-A3F2-B5A94E388D8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2" authorId="0" shapeId="0" xr:uid="{CFA45527-F1A7-4386-834A-8C63E408AE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2" authorId="0" shapeId="0" xr:uid="{2F01576D-AE43-4C55-A303-CD77C3A2CD3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2" authorId="0" shapeId="0" xr:uid="{81D36B46-617B-46D9-969B-E0358BE918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2" authorId="0" shapeId="0" xr:uid="{30F3CC7F-729C-4563-9708-88917998250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2" authorId="0" shapeId="0" xr:uid="{2BE55F77-C8EC-4751-B26B-9EF1667DE43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2" authorId="0" shapeId="0" xr:uid="{EEF4CF45-7E98-404F-9114-51A83223C82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2" authorId="0" shapeId="0" xr:uid="{6F214D34-31B1-459C-ADDC-09EF63569E8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2" authorId="0" shapeId="0" xr:uid="{5883B170-FF25-4B36-9ED3-BF7E8FA0A3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2" authorId="0" shapeId="0" xr:uid="{FF01189A-46B2-4E16-A31B-03028D5DBEA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2" authorId="0" shapeId="0" xr:uid="{DB35EB10-40BC-484B-98E5-0F42AA9AC6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2" authorId="0" shapeId="0" xr:uid="{19B66D16-A7DE-4EDD-B99F-3E49A9C6A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2" authorId="0" shapeId="0" xr:uid="{4E04C5DE-2B5A-4B6C-8835-C795B124CF7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2" authorId="0" shapeId="0" xr:uid="{568A4AA5-E30F-44EB-8E7A-DAB55D00E31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2" authorId="0" shapeId="0" xr:uid="{40BECA34-2A49-48D8-8C68-33295729AD0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2" authorId="0" shapeId="0" xr:uid="{FA15D580-0967-4A5F-8960-9F8AC0283C4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3" authorId="0" shapeId="0" xr:uid="{C9E986B7-FEFF-4648-AE89-A8686CC6D4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3" authorId="0" shapeId="0" xr:uid="{FC514DF6-B95A-460C-818B-9AA75E43C3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3" authorId="0" shapeId="0" xr:uid="{C3E45FA7-1B27-48EC-8656-F1ADC1B9617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3" authorId="0" shapeId="0" xr:uid="{7DBB297B-D01F-4BA9-B780-C35023876EE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3" authorId="0" shapeId="0" xr:uid="{BD9A8183-3065-4AF5-828F-4A8A0DC716C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3" authorId="0" shapeId="0" xr:uid="{9FB89190-42AA-44AD-A9B5-4DF7FA72451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3" authorId="0" shapeId="0" xr:uid="{9F398B19-408A-4254-82D8-1624DFF2DDC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3" authorId="0" shapeId="0" xr:uid="{E8AE64AC-59FA-45BD-AAA6-29BB4D2CB6F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3" authorId="0" shapeId="0" xr:uid="{F50FFB1A-C794-45DC-94E0-A0183E7CA3D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3" authorId="0" shapeId="0" xr:uid="{D0D84F7E-CA72-4D1A-8103-25A33A846E3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3" authorId="0" shapeId="0" xr:uid="{59E54F2A-EDD4-4859-9673-F7B603E85C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3" authorId="0" shapeId="0" xr:uid="{D859F2B3-C7BA-407A-BE29-5BC09F78AE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3" authorId="0" shapeId="0" xr:uid="{84638EB0-0CE4-4746-B707-44A598C82D7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3" authorId="0" shapeId="0" xr:uid="{0B9DA323-56FD-4FE9-867C-19111A9E28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3" authorId="0" shapeId="0" xr:uid="{613DAC8E-D0CD-4246-91B9-96CDFAC3302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3" authorId="0" shapeId="0" xr:uid="{FABE79FA-DC7A-47BF-AE00-B4D86C16793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3" authorId="0" shapeId="0" xr:uid="{12749364-AE13-4779-9CFA-6D3CBB1DB60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3" authorId="0" shapeId="0" xr:uid="{B0B5961C-8907-4CDE-A879-EF2E19EF1B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3" authorId="0" shapeId="0" xr:uid="{A4BE9022-4532-450A-983E-06AA82335C6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3" authorId="0" shapeId="0" xr:uid="{E6CA105D-BA83-48B8-9237-0BAE2149D9E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3" authorId="0" shapeId="0" xr:uid="{9C7D53D0-6262-450E-8F51-FF7B893C17C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3" authorId="0" shapeId="0" xr:uid="{F3CF858A-2143-4E2B-9C70-1CD875880E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3" authorId="0" shapeId="0" xr:uid="{AD5132BA-9193-4AD3-B421-FF1B9D97C5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3" authorId="0" shapeId="0" xr:uid="{A44D8AB8-63D9-446D-86FD-FDCFF3D48EF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3" authorId="0" shapeId="0" xr:uid="{283FB633-026A-4367-BB50-26A1C81E13C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3" authorId="0" shapeId="0" xr:uid="{05311A98-977A-4FFF-B95B-7926374039C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3" authorId="0" shapeId="0" xr:uid="{19877CCA-1331-4CAA-94F1-C45DEABBA22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3" authorId="0" shapeId="0" xr:uid="{0714E43C-A712-4C91-97C6-30EB1A588C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3" authorId="0" shapeId="0" xr:uid="{13262741-BFD9-4C88-93C3-16B5E819A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3" authorId="0" shapeId="0" xr:uid="{CE7A5132-D619-46BA-9D89-7D889DE5377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3" authorId="0" shapeId="0" xr:uid="{499E154A-460F-4370-9DE0-907577FC5AC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3" authorId="0" shapeId="0" xr:uid="{25E94819-97B3-4E67-A838-72FA1FD37A7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4" authorId="0" shapeId="0" xr:uid="{741E4A2C-223C-49B2-B451-1C7B663517A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4" authorId="0" shapeId="0" xr:uid="{E37FF67C-A389-414B-8A6D-E40D4BC41BE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4" authorId="0" shapeId="0" xr:uid="{8BC9C716-D421-48F1-9596-6B010677A60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4" authorId="0" shapeId="0" xr:uid="{694FD515-BCC8-4379-911C-F0EEF91688B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4" authorId="0" shapeId="0" xr:uid="{5F1C5F18-508E-4DFE-8CD4-78533E1FE7B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4" authorId="0" shapeId="0" xr:uid="{EC70537D-C0C5-46AF-AA8B-435218952A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4" authorId="0" shapeId="0" xr:uid="{DF297D9D-D2CE-4649-999E-C5EA862C9E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4" authorId="0" shapeId="0" xr:uid="{BCD02E89-E65B-41C4-B946-3D7F392C92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4" authorId="0" shapeId="0" xr:uid="{4305FA94-2994-4FE6-8076-097961F4102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4" authorId="0" shapeId="0" xr:uid="{FDE42984-1547-4EDA-B38B-CC8795D6A0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4" authorId="0" shapeId="0" xr:uid="{017494CB-130A-4507-9E1D-34E26BF4C0A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4" authorId="0" shapeId="0" xr:uid="{11B7A29E-9933-408C-B034-5B40E823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4" authorId="0" shapeId="0" xr:uid="{D80579D0-A80D-427B-AD84-CA40AF7A9B5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4" authorId="0" shapeId="0" xr:uid="{E5F31828-B6E1-44A8-B81F-082CC286BC2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4" authorId="0" shapeId="0" xr:uid="{133D80FB-BBF5-4D54-A239-AF52C9A878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4" authorId="0" shapeId="0" xr:uid="{C508B7FA-E52A-4288-926B-66062FF1667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4" authorId="0" shapeId="0" xr:uid="{C5383B9C-FAD8-4BEA-8A1D-A9463A6A10E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4" authorId="0" shapeId="0" xr:uid="{1B3B0447-081A-467D-8211-13B5662D455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4" authorId="0" shapeId="0" xr:uid="{183B384A-A862-4F28-8072-1B185722C76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4" authorId="0" shapeId="0" xr:uid="{F7F2B470-6E15-4205-B37A-1A6694B4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4" authorId="0" shapeId="0" xr:uid="{42171BAD-0342-41EE-B213-B882EE37BE6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4" authorId="0" shapeId="0" xr:uid="{D2022756-61DB-4D99-9D23-2CA06433E2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4" authorId="0" shapeId="0" xr:uid="{D84A9E36-5D6B-4B32-B1BC-9649666114E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4" authorId="0" shapeId="0" xr:uid="{329994F3-1655-43FE-A77E-BFF8EF65AF6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4" authorId="0" shapeId="0" xr:uid="{B297DC74-36D9-4C0F-B8DE-8D01D8F7FA2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4" authorId="0" shapeId="0" xr:uid="{E9ED4E1A-9583-4B3A-BD90-C23DC0773DC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4" authorId="0" shapeId="0" xr:uid="{DAABB91B-8562-4A1B-B492-4E85A2394F3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4" authorId="0" shapeId="0" xr:uid="{D5A34D42-9CB4-4047-9534-AD7F65F74C1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4" authorId="0" shapeId="0" xr:uid="{974B6DD7-4E33-49FA-B0AB-E3C2E299BE2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4" authorId="0" shapeId="0" xr:uid="{63CCE6A0-DA14-48EC-BCFA-CF658A5ED2A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4" authorId="0" shapeId="0" xr:uid="{3F086057-776B-4FAB-8066-295F07BF9FB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4" authorId="0" shapeId="0" xr:uid="{8EEFF29B-F33E-447C-966D-A8A13ACCD11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5" authorId="0" shapeId="0" xr:uid="{3DF5929A-4AFE-40A0-BB1A-9DC7A0A8293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5" authorId="0" shapeId="0" xr:uid="{BBC47B00-94D3-422C-90DA-A5DD3270229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5" authorId="0" shapeId="0" xr:uid="{40F7B5E0-1E7C-4488-8497-DAF5C98905E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5" authorId="0" shapeId="0" xr:uid="{9B4D4D0E-0DBE-4B21-8F5E-6DF5E522A4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5" authorId="0" shapeId="0" xr:uid="{F6081BE5-68FA-43AD-84D5-0F3A20B692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5" authorId="0" shapeId="0" xr:uid="{F24CAD54-ED1F-434D-BA2D-C0370752BBF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5" authorId="0" shapeId="0" xr:uid="{65E50CD8-C408-4E13-A4B3-5E124CC172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5" authorId="0" shapeId="0" xr:uid="{BBF9A864-7316-43F9-8EAF-8FDDFBC3BED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5" authorId="0" shapeId="0" xr:uid="{CDFFEB3B-5B64-4E2F-9056-2812B4A9DF5D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5" authorId="0" shapeId="0" xr:uid="{D23E18F2-3D49-4B90-9B69-35448A6E4D6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5" authorId="0" shapeId="0" xr:uid="{46F3ECA9-8362-43B7-8BBB-5C265EB6B40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5" authorId="0" shapeId="0" xr:uid="{3327F816-4C2D-4F60-BB35-0396918065A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5" authorId="0" shapeId="0" xr:uid="{FB864BD5-0090-40B4-AA3C-CBAFF4EBB12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5" authorId="0" shapeId="0" xr:uid="{46D7CB64-4971-4520-A29A-3681F05B419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5" authorId="0" shapeId="0" xr:uid="{28AB63AB-C41C-4DDD-9C4C-DA9536D7E93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5" authorId="0" shapeId="0" xr:uid="{E5CD76AC-FED8-4C80-9670-6B5D7983192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5" authorId="0" shapeId="0" xr:uid="{8112E179-4952-426E-81FC-297DA1DE58D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5" authorId="0" shapeId="0" xr:uid="{39D27274-0203-4244-82D2-15E754F89B9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5" authorId="0" shapeId="0" xr:uid="{A793D5AB-0E1E-4CA8-94AE-7D798799F81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5" authorId="0" shapeId="0" xr:uid="{0B0274E1-6109-4362-8796-799BC26BA9C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5" authorId="0" shapeId="0" xr:uid="{CA186EE2-314B-414A-BE7E-25F6AEB1487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5" authorId="0" shapeId="0" xr:uid="{64D2DBF7-3E29-4507-8FEA-F8B773BE179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5" authorId="0" shapeId="0" xr:uid="{1B696B48-596F-408A-B439-C0C495F302B8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5" authorId="0" shapeId="0" xr:uid="{FCBB9F12-7C13-4805-8386-ADABC0DD6C4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5" authorId="0" shapeId="0" xr:uid="{91031449-8162-4161-B126-B9337098175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5" authorId="0" shapeId="0" xr:uid="{6EEE183B-B1EA-43A9-9AAE-FE740E10D2A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5" authorId="0" shapeId="0" xr:uid="{35786614-59AD-4902-BE0E-FF9D338E55A9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5" authorId="0" shapeId="0" xr:uid="{2AE71D4F-B54C-4001-8FDC-222A2BAC3657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5" authorId="0" shapeId="0" xr:uid="{135359D2-8AB5-4024-982A-64A492D9391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5" authorId="0" shapeId="0" xr:uid="{BEE21635-DABF-4DB2-A76A-E2916C1AEC6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5" authorId="0" shapeId="0" xr:uid="{8895CEB8-2E8A-4317-9B8E-A4A340535B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5" authorId="0" shapeId="0" xr:uid="{6C4EA31F-964B-4434-8FF3-FC587C624ED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16" authorId="0" shapeId="0" xr:uid="{C8B8AD1E-7375-4376-825F-827C872FBDB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C16" authorId="0" shapeId="0" xr:uid="{AA73B263-7FD8-4E56-B2DA-E8421068820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D16" authorId="0" shapeId="0" xr:uid="{BE637BFB-847B-44F1-9E54-220716BB21B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E16" authorId="0" shapeId="0" xr:uid="{37D13E4E-FEC3-4FAA-81CB-53C471A631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I16" authorId="0" shapeId="0" xr:uid="{79B4C23C-FBF1-4E42-B3D8-697BDD515A4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J16" authorId="0" shapeId="0" xr:uid="{AD11FA7C-B94B-49BA-BFD7-388E19F34D3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K16" authorId="0" shapeId="0" xr:uid="{065823FC-918C-4DF0-AB4C-6FE54F44BF8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L16" authorId="0" shapeId="0" xr:uid="{EB4E18B8-2D65-4DB4-A2C7-22FA436B609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P16" authorId="0" shapeId="0" xr:uid="{C91D11C2-FF1B-475B-9FF0-F6BC562DE77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Q16" authorId="0" shapeId="0" xr:uid="{207EFB5B-0723-49B1-8225-16A2FCA3B6D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R16" authorId="0" shapeId="0" xr:uid="{88649807-9E87-4FE8-897F-874C9512CF8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S16" authorId="0" shapeId="0" xr:uid="{DB778A42-0F2D-4C6B-B3F4-075E24AC706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W16" authorId="0" shapeId="0" xr:uid="{FE5BD8BC-6281-4530-98DD-66D8EBEA9410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X16" authorId="0" shapeId="0" xr:uid="{5E16CDF7-9F81-4B53-B979-6C35CA767C7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Y16" authorId="0" shapeId="0" xr:uid="{677963AE-EE3E-4BF8-B91F-0170834ECD7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Z16" authorId="0" shapeId="0" xr:uid="{3FE348D5-ECF5-4369-A59A-408D711E0F4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D16" authorId="0" shapeId="0" xr:uid="{283603BF-5937-47AB-B01B-3B7EC82B53D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E16" authorId="0" shapeId="0" xr:uid="{D3CBBEE6-EF6D-4A87-A3DC-FE852745D2F1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F16" authorId="0" shapeId="0" xr:uid="{65422A95-1E72-4FF0-8778-7114920A3C04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G16" authorId="0" shapeId="0" xr:uid="{BF81FB29-14F9-48D3-BE74-7843A1A5AFF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K16" authorId="0" shapeId="0" xr:uid="{9FA3660D-776E-49CF-B6E6-35D9BA8F5AA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L16" authorId="0" shapeId="0" xr:uid="{60418661-37C1-4417-AD16-3C18D4FF6A66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M16" authorId="0" shapeId="0" xr:uid="{F6079754-EBA9-4902-96F0-8B257BB89FAC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N16" authorId="0" shapeId="0" xr:uid="{DCFB8575-B736-4A65-B1FF-89BF4BCF854B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R16" authorId="0" shapeId="0" xr:uid="{DAD16C37-F678-4E46-A085-8DA8DE4415D2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S16" authorId="0" shapeId="0" xr:uid="{F6970DE2-1B72-4587-B23B-A22C61E8C04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T16" authorId="0" shapeId="0" xr:uid="{3FB62A81-7576-4E1C-9B86-C91A1E90738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U16" authorId="0" shapeId="0" xr:uid="{31A50766-8846-4377-B123-6FC807A04C6F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Y16" authorId="0" shapeId="0" xr:uid="{0F2093DE-FE09-437E-A0FB-91A64BFB313A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AZ16" authorId="0" shapeId="0" xr:uid="{38C000C4-2CAE-41AE-A885-0DDBFC55750E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A16" authorId="0" shapeId="0" xr:uid="{0EAF170E-F1E4-468C-B2CF-23CB1ADFC5D5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BB16" authorId="0" shapeId="0" xr:uid="{B941A602-8B06-43FA-A644-63205E0FBA93}">
      <text>
        <r>
          <rPr>
            <b/>
            <sz val="9"/>
            <color indexed="81"/>
            <rFont val="Tahoma"/>
            <charset val="1"/>
          </rPr>
          <t xml:space="preserve">Format de saisie pour 8h30 mettre 8:30
</t>
        </r>
      </text>
    </comment>
    <comment ref="G22" authorId="0" shapeId="0" xr:uid="{C9F9F1AA-4ACB-427B-A6D9-78FEAF2C117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5C186BAA-AAE1-47D4-8981-F17F3FB4004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F3F0311D-689B-4DA4-A748-960477A1A79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468E0AE6-E8A2-4F3C-96BA-F0A29F9CE028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C8C09967-40AC-4021-98FD-43DE1985C5E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17BEE42-0677-4DA3-9CDE-16094FAB1AB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A175A-451B-4171-A67F-0E80A81652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92DF28E9-E60C-460E-8F40-C36CA94D925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55D9F6F1-8E93-4705-A73F-E66B11481A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<sst xmlns="http://schemas.openxmlformats.org/spreadsheetml/2006/main" count="828" uniqueCount="107">
  <si>
    <t>Jours</t>
  </si>
  <si>
    <t>Semaine Type A</t>
  </si>
  <si>
    <t>Nbre d'heures</t>
  </si>
  <si>
    <t>Nbre d'heures en 100è</t>
  </si>
  <si>
    <t>Lundi</t>
  </si>
  <si>
    <t>Mardi</t>
  </si>
  <si>
    <t>Mercredi</t>
  </si>
  <si>
    <t>Jeudi</t>
  </si>
  <si>
    <t>Vendredi</t>
  </si>
  <si>
    <t>Samedi</t>
  </si>
  <si>
    <t>Dimanche</t>
  </si>
  <si>
    <t>Nombre de semaines d'accueil prévues :</t>
  </si>
  <si>
    <t>Semaine Type B</t>
  </si>
  <si>
    <t>Semaine Type C</t>
  </si>
  <si>
    <t>Semaine Type D</t>
  </si>
  <si>
    <t>Semaine Type E</t>
  </si>
  <si>
    <t>Semaine Type F</t>
  </si>
  <si>
    <t>Semaine Type G</t>
  </si>
  <si>
    <t>Semaine Type H</t>
  </si>
  <si>
    <t>Informations annuelles</t>
  </si>
  <si>
    <t>Contrat en année :</t>
  </si>
  <si>
    <t>Taux de conversion brut/net :</t>
  </si>
  <si>
    <t>Taux horaire net heures normales :</t>
  </si>
  <si>
    <t>Informations mensuelles</t>
  </si>
  <si>
    <t>PLANNING :</t>
  </si>
  <si>
    <t>MENSUALISATION</t>
  </si>
  <si>
    <t>Nom et prénom de l'employeur :</t>
  </si>
  <si>
    <t>Taux horaire brut heures normales :</t>
  </si>
  <si>
    <t>Montant de l'indemnité d'entretien par jour :</t>
  </si>
  <si>
    <t>Salaire mensuel net :</t>
  </si>
  <si>
    <t>+ congés payés :</t>
  </si>
  <si>
    <t>Vos ressources ne dépassent pas les limites suivantes</t>
  </si>
  <si>
    <t>Montant de l'aide</t>
  </si>
  <si>
    <t>Coût de l'assistante maternelle</t>
  </si>
  <si>
    <t>Soit à l'heure</t>
  </si>
  <si>
    <t>pour un enfant de moins de 3 ans**</t>
  </si>
  <si>
    <t>pour un enfant âgé de 3 à 6 ans</t>
  </si>
  <si>
    <t>Vos ressources sont inférieures 
aux montants suivants</t>
  </si>
  <si>
    <t xml:space="preserve">Vos ressources dépassent les limites suivantes </t>
  </si>
  <si>
    <t>Total annuel de jours d'accueil :</t>
  </si>
  <si>
    <t>Total mensuel de jours d'accueil :</t>
  </si>
  <si>
    <t>Salaire mensuel moyen total :</t>
  </si>
  <si>
    <t>+ Moyenne indemnité d'entretien :</t>
  </si>
  <si>
    <t>Ceci est une approximation, les CP étant calculés en 10%  et non en maintien de salaire</t>
  </si>
  <si>
    <t>ou bénéficier d' un crédit d'impôts si non imposables</t>
  </si>
  <si>
    <r>
      <t xml:space="preserve">Pensez aussi aux </t>
    </r>
    <r>
      <rPr>
        <b/>
        <i/>
        <u/>
        <sz val="10"/>
        <rFont val="Arial"/>
        <family val="2"/>
      </rPr>
      <t>chèques CESU</t>
    </r>
    <r>
      <rPr>
        <i/>
        <sz val="10"/>
        <rFont val="Arial"/>
        <family val="2"/>
      </rPr>
      <t xml:space="preserve"> que vous pouvez avoir avec certaines entreprises ou établissements</t>
    </r>
  </si>
  <si>
    <t>Total heures semaine en centièmes :</t>
  </si>
  <si>
    <t>Nombre de semaines pour la mensualisation :</t>
  </si>
  <si>
    <t>+ Moyenne indemnité km :</t>
  </si>
  <si>
    <t>Ce montant tient compte de la réduction des charges salariales sur les heures supplémentaires</t>
  </si>
  <si>
    <t xml:space="preserve">CALCUL DU COUT D'UNE ASSISTANTE MATERNELLE </t>
  </si>
  <si>
    <t>Montant de l'indemnité km par jour :</t>
  </si>
  <si>
    <t>Montant  repas par jour :</t>
  </si>
  <si>
    <t>Montant goûter par jour :</t>
  </si>
  <si>
    <t>+ Moyenne indemnité goûter :</t>
  </si>
  <si>
    <t>+ Moyenne indemnité repas :</t>
  </si>
  <si>
    <t>Heure arrivée 1</t>
  </si>
  <si>
    <t>Heure départ 1</t>
  </si>
  <si>
    <t>Heure arrivée 2</t>
  </si>
  <si>
    <t>Heure départ 2</t>
  </si>
  <si>
    <t>Elevez vous seul(e) votre ou vos enfant(s) :</t>
  </si>
  <si>
    <t>NON</t>
  </si>
  <si>
    <t>1 enfant :</t>
  </si>
  <si>
    <t>2 enfants :</t>
  </si>
  <si>
    <t>3 enfants :</t>
  </si>
  <si>
    <t>Au-delà de 3 enfants :</t>
  </si>
  <si>
    <t>Prestations :</t>
  </si>
  <si>
    <t>Enfant - 3ans :</t>
  </si>
  <si>
    <t>Enfant 3 à 6 ans :</t>
  </si>
  <si>
    <t xml:space="preserve">Majoration prestation parent seul : </t>
  </si>
  <si>
    <t>Majoration plafond parent seul :</t>
  </si>
  <si>
    <r>
      <t xml:space="preserve">*Depuis le 1er juin 2012, ces montants sont majorés de 40 % si vous élevez seul(e) votre ou vos enfants. (Prise en compte dans l'outil)
</t>
    </r>
    <r>
      <rPr>
        <i/>
        <sz val="10"/>
        <rFont val="Arial"/>
        <family val="2"/>
      </rPr>
      <t>**Si votre enfant atteint l’âge de 3 ans entre le 1er janvier et le 31 août, le bénéfice du montant mensuel maximum applicable aux enfants de 0 à 3 ans est prolongé jusqu’au mois précédent la rentrée scolaire de septembre.</t>
    </r>
  </si>
  <si>
    <t>Alsace Moselle :</t>
  </si>
  <si>
    <t>Date</t>
  </si>
  <si>
    <t xml:space="preserve">taux conversion </t>
  </si>
  <si>
    <t>taux conversion alsace</t>
  </si>
  <si>
    <t>Plafond de ressources 1ère enfant inférieur à</t>
  </si>
  <si>
    <t>Plafond de ressources 1ère enfant supérieur à</t>
  </si>
  <si>
    <t>Plafond de ressources 2è enfant inférieur à</t>
  </si>
  <si>
    <t>Plafond de ressources 2è enfant supérieur à</t>
  </si>
  <si>
    <t>Plafond de ressources 3è enfant inférieur à</t>
  </si>
  <si>
    <t>Plafond de ressources 3è enfant supérieur à</t>
  </si>
  <si>
    <t>au-delà 3 enfant inférieur à</t>
  </si>
  <si>
    <t>au-delà 3 enfant supérieur à</t>
  </si>
  <si>
    <t>Majoration plafond parents seul</t>
  </si>
  <si>
    <t>Prestation -3ans min</t>
  </si>
  <si>
    <t>Prestation -3ans milieu</t>
  </si>
  <si>
    <t>Prestation -3ans max</t>
  </si>
  <si>
    <t>Prestation Enfant 3 à 6 ans min</t>
  </si>
  <si>
    <t>Prestation Enfant 3 à 6 ans milieu</t>
  </si>
  <si>
    <t>Prestation Enfant 3 à 6 ans maxi</t>
  </si>
  <si>
    <t>Date d'effet :</t>
  </si>
  <si>
    <t>Modif :</t>
  </si>
  <si>
    <t>Nombre d'heures majorées :</t>
  </si>
  <si>
    <t>Total annuel heures majorées :</t>
  </si>
  <si>
    <t>,</t>
  </si>
  <si>
    <t>Nombre d'heures majorées mensualisées :</t>
  </si>
  <si>
    <t>Taux majoration heures majorées :</t>
  </si>
  <si>
    <t>Taux horaire brut heures majorées :</t>
  </si>
  <si>
    <t>Exonération charges sociales HS estimée :</t>
  </si>
  <si>
    <t>Salaire brut mensuel hors majoration :</t>
  </si>
  <si>
    <t>Estimation de la majoration mensuelle brut  :</t>
  </si>
  <si>
    <t xml:space="preserve">Total salaire brut : </t>
  </si>
  <si>
    <r>
      <t xml:space="preserve">De plus les parents peuvent déduire de leurs impôts un montant </t>
    </r>
    <r>
      <rPr>
        <b/>
        <u/>
        <sz val="10"/>
        <rFont val="Arial"/>
        <family val="2"/>
      </rPr>
      <t>maximum de 1 750 €</t>
    </r>
    <r>
      <rPr>
        <sz val="10"/>
        <rFont val="Arial"/>
        <family val="2"/>
      </rPr>
      <t xml:space="preserve">  après l'aide de la PAJE</t>
    </r>
  </si>
  <si>
    <t>Syndicat national FO des emplois de la famille       www.emploisdelafamille-fo.fr</t>
  </si>
  <si>
    <r>
      <t xml:space="preserve">AIDE DE LA PAJE SELON LE REVENU FISCAL </t>
    </r>
    <r>
      <rPr>
        <b/>
        <sz val="12"/>
        <color rgb="FFFF0000"/>
        <rFont val="Arial"/>
        <family val="2"/>
      </rPr>
      <t xml:space="preserve">2023 </t>
    </r>
    <r>
      <rPr>
        <b/>
        <sz val="12"/>
        <rFont val="Arial"/>
        <family val="2"/>
      </rPr>
      <t>en vigueur jusqu'au 31 décembre 2025</t>
    </r>
  </si>
  <si>
    <t>Salaire net  (charg.soc HS) estimé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</si>
</sst>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&quot; hrs&quot;"/>
    <numFmt numFmtId="166" formatCode="0&quot; sem&quot;"/>
    <numFmt numFmtId="167" formatCode="_-* #,##0.0000\ &quot;€&quot;_-;\-* #,##0.0000\ &quot;€&quot;_-;_-* &quot;-&quot;??\ &quot;€&quot;_-;_-@_-"/>
    <numFmt numFmtId="168" formatCode="_-* #,##0.00\ &quot;€&quot;_-;\-* #,##0.00\ &quot;€&quot;_-;_-* &quot;-&quot;????\ &quot;€&quot;_-;_-@_-"/>
    <numFmt numFmtId="169" formatCode="#,##0.00&quot; €&quot;"/>
    <numFmt numFmtId="170" formatCode="#,##0.00&quot; €&quot;;[Red]\-#,##0.00&quot; €&quot;"/>
    <numFmt numFmtId="171" formatCode="0&quot; jrs&quot;"/>
    <numFmt numFmtId="172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EE2224"/>
      <name val="Arial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15C5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2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165" fontId="0" fillId="0" borderId="1" xfId="0" applyNumberFormat="1" applyBorder="1"/>
    <xf numFmtId="0" fontId="0" fillId="0" borderId="5" xfId="0" applyBorder="1" applyAlignment="1">
      <alignment horizontal="right"/>
    </xf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7" fontId="0" fillId="0" borderId="0" xfId="1" applyNumberFormat="1" applyFont="1" applyProtection="1"/>
    <xf numFmtId="165" fontId="0" fillId="0" borderId="0" xfId="0" applyNumberFormat="1"/>
    <xf numFmtId="165" fontId="2" fillId="0" borderId="0" xfId="0" applyNumberFormat="1" applyFont="1"/>
    <xf numFmtId="165" fontId="0" fillId="0" borderId="6" xfId="0" applyNumberFormat="1" applyBorder="1"/>
    <xf numFmtId="168" fontId="2" fillId="0" borderId="0" xfId="0" applyNumberFormat="1" applyFont="1"/>
    <xf numFmtId="44" fontId="0" fillId="0" borderId="0" xfId="1" applyFont="1" applyProtection="1"/>
    <xf numFmtId="0" fontId="9" fillId="0" borderId="0" xfId="0" applyFont="1" applyAlignment="1">
      <alignment horizontal="right"/>
    </xf>
    <xf numFmtId="169" fontId="9" fillId="0" borderId="1" xfId="0" applyNumberFormat="1" applyFont="1" applyBorder="1"/>
    <xf numFmtId="169" fontId="0" fillId="0" borderId="0" xfId="0" applyNumberFormat="1"/>
    <xf numFmtId="169" fontId="10" fillId="0" borderId="0" xfId="0" applyNumberFormat="1" applyFont="1"/>
    <xf numFmtId="0" fontId="1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169" fontId="9" fillId="0" borderId="1" xfId="0" applyNumberFormat="1" applyFont="1" applyBorder="1" applyAlignment="1">
      <alignment vertical="center"/>
    </xf>
    <xf numFmtId="170" fontId="13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70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71" fontId="0" fillId="0" borderId="1" xfId="0" applyNumberFormat="1" applyBorder="1"/>
    <xf numFmtId="0" fontId="3" fillId="0" borderId="0" xfId="0" applyFont="1" applyAlignment="1">
      <alignment horizontal="center"/>
    </xf>
    <xf numFmtId="17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2" fontId="0" fillId="0" borderId="0" xfId="0" applyNumberFormat="1"/>
    <xf numFmtId="172" fontId="0" fillId="0" borderId="0" xfId="3" applyNumberFormat="1" applyFont="1" applyProtection="1"/>
    <xf numFmtId="0" fontId="0" fillId="2" borderId="0" xfId="0" applyFill="1" applyProtection="1">
      <protection hidden="1"/>
    </xf>
    <xf numFmtId="14" fontId="0" fillId="0" borderId="0" xfId="0" applyNumberFormat="1"/>
    <xf numFmtId="9" fontId="0" fillId="0" borderId="0" xfId="0" applyNumberFormat="1"/>
    <xf numFmtId="9" fontId="0" fillId="0" borderId="0" xfId="2" applyFon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72" fontId="1" fillId="0" borderId="0" xfId="3" applyNumberFormat="1" applyFont="1" applyProtection="1">
      <protection hidden="1"/>
    </xf>
    <xf numFmtId="0" fontId="1" fillId="0" borderId="0" xfId="0" applyFont="1" applyProtection="1">
      <protection hidden="1"/>
    </xf>
    <xf numFmtId="9" fontId="1" fillId="0" borderId="0" xfId="2" applyFon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0" borderId="0" xfId="0" applyFont="1"/>
    <xf numFmtId="14" fontId="0" fillId="4" borderId="0" xfId="0" applyNumberFormat="1" applyFill="1" applyAlignment="1" applyProtection="1">
      <alignment horizontal="center"/>
      <protection locked="0"/>
    </xf>
    <xf numFmtId="20" fontId="0" fillId="4" borderId="1" xfId="0" applyNumberFormat="1" applyFill="1" applyBorder="1" applyAlignment="1" applyProtection="1">
      <alignment horizontal="center"/>
      <protection locked="0"/>
    </xf>
    <xf numFmtId="166" fontId="0" fillId="4" borderId="1" xfId="0" applyNumberFormat="1" applyFill="1" applyBorder="1" applyAlignment="1" applyProtection="1">
      <alignment horizontal="center"/>
      <protection locked="0"/>
    </xf>
    <xf numFmtId="167" fontId="0" fillId="4" borderId="1" xfId="1" applyNumberFormat="1" applyFont="1" applyFill="1" applyBorder="1" applyAlignment="1" applyProtection="1">
      <alignment horizontal="center"/>
      <protection locked="0"/>
    </xf>
    <xf numFmtId="169" fontId="2" fillId="4" borderId="0" xfId="0" applyNumberFormat="1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0" fillId="0" borderId="0" xfId="0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72" fontId="17" fillId="0" borderId="0" xfId="3" applyNumberFormat="1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/>
    <xf numFmtId="0" fontId="17" fillId="0" borderId="0" xfId="0" applyFont="1" applyAlignment="1">
      <alignment horizontal="right"/>
    </xf>
    <xf numFmtId="172" fontId="17" fillId="0" borderId="0" xfId="3" applyNumberFormat="1" applyFont="1" applyProtection="1"/>
    <xf numFmtId="0" fontId="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14" fontId="0" fillId="4" borderId="0" xfId="0" applyNumberForma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20" fontId="0" fillId="4" borderId="1" xfId="0" applyNumberFormat="1" applyFill="1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6" fontId="0" fillId="4" borderId="1" xfId="0" applyNumberFormat="1" applyFill="1" applyBorder="1" applyAlignment="1" applyProtection="1">
      <alignment horizontal="center"/>
      <protection hidden="1"/>
    </xf>
    <xf numFmtId="171" fontId="0" fillId="0" borderId="1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7" fontId="0" fillId="4" borderId="1" xfId="1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10" fontId="0" fillId="4" borderId="1" xfId="2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Protection="1">
      <protection hidden="1"/>
    </xf>
    <xf numFmtId="44" fontId="0" fillId="4" borderId="1" xfId="1" applyFont="1" applyFill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0" fillId="0" borderId="6" xfId="0" applyNumberFormat="1" applyBorder="1" applyProtection="1">
      <protection hidden="1"/>
    </xf>
    <xf numFmtId="168" fontId="2" fillId="0" borderId="0" xfId="0" applyNumberFormat="1" applyFont="1" applyProtection="1">
      <protection hidden="1"/>
    </xf>
    <xf numFmtId="10" fontId="0" fillId="4" borderId="1" xfId="1" applyNumberFormat="1" applyFont="1" applyFill="1" applyBorder="1" applyAlignment="1" applyProtection="1">
      <alignment horizontal="center"/>
      <protection locked="0"/>
    </xf>
    <xf numFmtId="44" fontId="0" fillId="4" borderId="1" xfId="1" applyFont="1" applyFill="1" applyBorder="1" applyAlignment="1" applyProtection="1">
      <alignment horizontal="center"/>
      <protection locked="0"/>
    </xf>
    <xf numFmtId="44" fontId="0" fillId="0" borderId="0" xfId="0" applyNumberFormat="1"/>
    <xf numFmtId="0" fontId="8" fillId="0" borderId="0" xfId="0" applyFont="1" applyAlignment="1">
      <alignment horizontal="right"/>
    </xf>
    <xf numFmtId="167" fontId="8" fillId="0" borderId="0" xfId="1" applyNumberFormat="1" applyFont="1" applyFill="1" applyBorder="1" applyAlignment="1" applyProtection="1">
      <alignment horizontal="center"/>
    </xf>
    <xf numFmtId="44" fontId="8" fillId="0" borderId="0" xfId="1" applyFont="1" applyProtection="1"/>
    <xf numFmtId="0" fontId="6" fillId="0" borderId="0" xfId="0" applyFont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4" borderId="0" xfId="0" applyFill="1" applyAlignment="1" applyProtection="1">
      <alignment horizontal="center" vertical="center"/>
      <protection locked="0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1" fillId="0" borderId="0" xfId="0" applyFont="1" applyAlignment="1" applyProtection="1">
      <alignment horizontal="left"/>
      <protection hidden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7" borderId="3" xfId="0" applyFont="1" applyFill="1" applyBorder="1" applyAlignment="1" applyProtection="1">
      <alignment horizontal="center"/>
      <protection hidden="1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3" fillId="11" borderId="3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07"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15C5A"/>
      <color rgb="FFC4D79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63500</xdr:rowOff>
    </xdr:from>
    <xdr:to>
      <xdr:col>9</xdr:col>
      <xdr:colOff>935302</xdr:colOff>
      <xdr:row>3</xdr:row>
      <xdr:rowOff>167515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523AF4-A7BC-46C2-91D6-4620D0394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14833" y="63500"/>
          <a:ext cx="892969" cy="781348"/>
        </a:xfrm>
        <a:prstGeom prst="rect">
          <a:avLst/>
        </a:prstGeom>
      </xdr:spPr>
    </xdr:pic>
    <xdr:clientData/>
  </xdr:twoCellAnchor>
  <xdr:twoCellAnchor>
    <xdr:from>
      <xdr:col>15</xdr:col>
      <xdr:colOff>941916</xdr:colOff>
      <xdr:row>0</xdr:row>
      <xdr:rowOff>222250</xdr:rowOff>
    </xdr:from>
    <xdr:to>
      <xdr:col>19</xdr:col>
      <xdr:colOff>27516</xdr:colOff>
      <xdr:row>5</xdr:row>
      <xdr:rowOff>82550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388821C-E516-42C7-B02B-3B85D074F33F}"/>
            </a:ext>
          </a:extLst>
        </xdr:cNvPr>
        <xdr:cNvSpPr txBox="1"/>
      </xdr:nvSpPr>
      <xdr:spPr>
        <a:xfrm>
          <a:off x="15229416" y="222250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5</xdr:col>
      <xdr:colOff>836083</xdr:colOff>
      <xdr:row>2</xdr:row>
      <xdr:rowOff>63500</xdr:rowOff>
    </xdr:from>
    <xdr:ext cx="501182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9460F99-8DFA-49A9-8421-ADABFF60D612}"/>
            </a:ext>
          </a:extLst>
        </xdr:cNvPr>
        <xdr:cNvSpPr/>
      </xdr:nvSpPr>
      <xdr:spPr>
        <a:xfrm>
          <a:off x="5598583" y="550333"/>
          <a:ext cx="50118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Mayotte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20</xdr:row>
      <xdr:rowOff>9525</xdr:rowOff>
    </xdr:from>
    <xdr:to>
      <xdr:col>11</xdr:col>
      <xdr:colOff>9526</xdr:colOff>
      <xdr:row>22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33926" y="2124075"/>
          <a:ext cx="38100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Pour</a:t>
          </a:r>
          <a:r>
            <a:rPr lang="fr-FR" sz="800" baseline="0"/>
            <a:t> le montant des frais d'entretien, de repas /goûter et kms, ce simulateur les calcule,  à partir  du nombre total </a:t>
          </a:r>
          <a:r>
            <a:rPr lang="fr-F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jours  </a:t>
          </a:r>
          <a:r>
            <a:rPr lang="fr-FR" sz="800" baseline="0"/>
            <a:t>d 'accueil dans l'année /12. </a:t>
          </a:r>
          <a:endParaRPr lang="fr-FR" sz="800"/>
        </a:p>
      </xdr:txBody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2</xdr:col>
      <xdr:colOff>683419</xdr:colOff>
      <xdr:row>4</xdr:row>
      <xdr:rowOff>9823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77046B-D018-4432-9A31-4574A2E0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2143125" y="0"/>
          <a:ext cx="892969" cy="781348"/>
        </a:xfrm>
        <a:prstGeom prst="rect">
          <a:avLst/>
        </a:prstGeom>
      </xdr:spPr>
    </xdr:pic>
    <xdr:clientData/>
  </xdr:twoCellAnchor>
  <xdr:oneCellAnchor>
    <xdr:from>
      <xdr:col>6</xdr:col>
      <xdr:colOff>342900</xdr:colOff>
      <xdr:row>7</xdr:row>
      <xdr:rowOff>142875</xdr:rowOff>
    </xdr:from>
    <xdr:ext cx="501182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985291-568B-4E47-9EEE-50E8637B1D37}"/>
            </a:ext>
          </a:extLst>
        </xdr:cNvPr>
        <xdr:cNvSpPr/>
      </xdr:nvSpPr>
      <xdr:spPr>
        <a:xfrm>
          <a:off x="5895975" y="1495425"/>
          <a:ext cx="50118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Mayotte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0</xdr:row>
      <xdr:rowOff>47625</xdr:rowOff>
    </xdr:from>
    <xdr:to>
      <xdr:col>9</xdr:col>
      <xdr:colOff>928688</xdr:colOff>
      <xdr:row>3</xdr:row>
      <xdr:rowOff>150317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711618-0CF6-4B7D-A5DC-4183214B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08219" y="47625"/>
          <a:ext cx="892969" cy="7813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59531</xdr:colOff>
      <xdr:row>0</xdr:row>
      <xdr:rowOff>47624</xdr:rowOff>
    </xdr:from>
    <xdr:to>
      <xdr:col>10</xdr:col>
      <xdr:colOff>0</xdr:colOff>
      <xdr:row>3</xdr:row>
      <xdr:rowOff>150316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3429C7-CAC5-4BC0-BEC6-709220CF7B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32031" y="47624"/>
          <a:ext cx="892969" cy="781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83343</xdr:rowOff>
    </xdr:from>
    <xdr:to>
      <xdr:col>9</xdr:col>
      <xdr:colOff>940594</xdr:colOff>
      <xdr:row>3</xdr:row>
      <xdr:rowOff>186035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34B436-9C10-49AD-A7E7-005CFA81A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20125" y="83343"/>
          <a:ext cx="892969" cy="78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BD55"/>
  <sheetViews>
    <sheetView showGridLines="0" tabSelected="1" zoomScale="90" zoomScaleNormal="90" workbookViewId="0">
      <selection activeCell="B10" sqref="B10"/>
    </sheetView>
  </sheetViews>
  <sheetFormatPr baseColWidth="10" defaultRowHeight="15" x14ac:dyDescent="0.25"/>
  <cols>
    <col min="1" max="56" width="14.28515625" customWidth="1"/>
  </cols>
  <sheetData>
    <row r="1" spans="1:56" ht="23.25" x14ac:dyDescent="0.35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1" t="s">
        <v>26</v>
      </c>
      <c r="D3" s="121"/>
      <c r="E3" s="121"/>
      <c r="F3" s="121"/>
      <c r="I3" s="1"/>
    </row>
    <row r="5" spans="1:56" ht="18.75" x14ac:dyDescent="0.3">
      <c r="A5" s="2" t="s">
        <v>24</v>
      </c>
      <c r="C5" s="62" t="s">
        <v>91</v>
      </c>
      <c r="D5" s="61">
        <f ca="1">+IF(D6="",NOW(),D6)</f>
        <v>45684.618809259257</v>
      </c>
      <c r="E5" s="43"/>
      <c r="F5" s="43"/>
    </row>
    <row r="6" spans="1:56" ht="18.75" x14ac:dyDescent="0.3">
      <c r="A6" s="2"/>
      <c r="C6" s="1" t="s">
        <v>92</v>
      </c>
      <c r="D6" s="63"/>
      <c r="E6" s="43"/>
      <c r="F6" s="43"/>
    </row>
    <row r="8" spans="1:56" ht="18.75" x14ac:dyDescent="0.3">
      <c r="A8" s="118" t="s">
        <v>1</v>
      </c>
      <c r="B8" s="119"/>
      <c r="C8" s="119"/>
      <c r="D8" s="119"/>
      <c r="E8" s="119"/>
      <c r="F8" s="119"/>
      <c r="G8" s="120"/>
      <c r="H8" s="137" t="s">
        <v>12</v>
      </c>
      <c r="I8" s="138"/>
      <c r="J8" s="138"/>
      <c r="K8" s="138"/>
      <c r="L8" s="138"/>
      <c r="M8" s="138"/>
      <c r="N8" s="139"/>
      <c r="O8" s="134" t="s">
        <v>13</v>
      </c>
      <c r="P8" s="135"/>
      <c r="Q8" s="135"/>
      <c r="R8" s="135"/>
      <c r="S8" s="135"/>
      <c r="T8" s="135"/>
      <c r="U8" s="136"/>
      <c r="V8" s="131" t="s">
        <v>14</v>
      </c>
      <c r="W8" s="132"/>
      <c r="X8" s="132"/>
      <c r="Y8" s="132"/>
      <c r="Z8" s="132"/>
      <c r="AA8" s="132"/>
      <c r="AB8" s="133"/>
      <c r="AC8" s="128" t="s">
        <v>15</v>
      </c>
      <c r="AD8" s="129"/>
      <c r="AE8" s="129"/>
      <c r="AF8" s="129"/>
      <c r="AG8" s="129"/>
      <c r="AH8" s="129"/>
      <c r="AI8" s="130"/>
      <c r="AJ8" s="125" t="s">
        <v>16</v>
      </c>
      <c r="AK8" s="126"/>
      <c r="AL8" s="126"/>
      <c r="AM8" s="126"/>
      <c r="AN8" s="126"/>
      <c r="AO8" s="126"/>
      <c r="AP8" s="127"/>
      <c r="AQ8" s="122" t="s">
        <v>17</v>
      </c>
      <c r="AR8" s="123"/>
      <c r="AS8" s="123"/>
      <c r="AT8" s="123"/>
      <c r="AU8" s="123"/>
      <c r="AV8" s="123"/>
      <c r="AW8" s="124"/>
      <c r="AX8" s="115" t="s">
        <v>18</v>
      </c>
      <c r="AY8" s="116"/>
      <c r="AZ8" s="116"/>
      <c r="BA8" s="116"/>
      <c r="BB8" s="116"/>
      <c r="BC8" s="116"/>
      <c r="BD8" s="117"/>
    </row>
    <row r="9" spans="1:56" ht="30" x14ac:dyDescent="0.25">
      <c r="A9" s="3" t="s">
        <v>0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2</v>
      </c>
      <c r="G9" s="3" t="s">
        <v>3</v>
      </c>
      <c r="H9" s="3" t="s">
        <v>0</v>
      </c>
      <c r="I9" s="3" t="s">
        <v>56</v>
      </c>
      <c r="J9" s="3" t="s">
        <v>57</v>
      </c>
      <c r="K9" s="3" t="s">
        <v>58</v>
      </c>
      <c r="L9" s="3" t="s">
        <v>59</v>
      </c>
      <c r="M9" s="3" t="s">
        <v>2</v>
      </c>
      <c r="N9" s="3" t="s">
        <v>3</v>
      </c>
      <c r="O9" s="3" t="s">
        <v>0</v>
      </c>
      <c r="P9" s="3" t="s">
        <v>56</v>
      </c>
      <c r="Q9" s="3" t="s">
        <v>57</v>
      </c>
      <c r="R9" s="3" t="s">
        <v>58</v>
      </c>
      <c r="S9" s="3" t="s">
        <v>59</v>
      </c>
      <c r="T9" s="3" t="s">
        <v>2</v>
      </c>
      <c r="U9" s="3" t="s">
        <v>3</v>
      </c>
      <c r="V9" s="3" t="s">
        <v>0</v>
      </c>
      <c r="W9" s="3" t="s">
        <v>56</v>
      </c>
      <c r="X9" s="3" t="s">
        <v>57</v>
      </c>
      <c r="Y9" s="3" t="s">
        <v>58</v>
      </c>
      <c r="Z9" s="3" t="s">
        <v>59</v>
      </c>
      <c r="AA9" s="3" t="s">
        <v>2</v>
      </c>
      <c r="AB9" s="3" t="s">
        <v>3</v>
      </c>
      <c r="AC9" s="3" t="s">
        <v>0</v>
      </c>
      <c r="AD9" s="3" t="s">
        <v>56</v>
      </c>
      <c r="AE9" s="3" t="s">
        <v>57</v>
      </c>
      <c r="AF9" s="3" t="s">
        <v>58</v>
      </c>
      <c r="AG9" s="3" t="s">
        <v>59</v>
      </c>
      <c r="AH9" s="3" t="s">
        <v>2</v>
      </c>
      <c r="AI9" s="3" t="s">
        <v>3</v>
      </c>
      <c r="AJ9" s="3" t="s">
        <v>0</v>
      </c>
      <c r="AK9" s="3" t="s">
        <v>56</v>
      </c>
      <c r="AL9" s="3" t="s">
        <v>57</v>
      </c>
      <c r="AM9" s="3" t="s">
        <v>58</v>
      </c>
      <c r="AN9" s="3" t="s">
        <v>59</v>
      </c>
      <c r="AO9" s="3" t="s">
        <v>2</v>
      </c>
      <c r="AP9" s="3" t="s">
        <v>3</v>
      </c>
      <c r="AQ9" s="3" t="s">
        <v>0</v>
      </c>
      <c r="AR9" s="3" t="s">
        <v>56</v>
      </c>
      <c r="AS9" s="3" t="s">
        <v>57</v>
      </c>
      <c r="AT9" s="3" t="s">
        <v>58</v>
      </c>
      <c r="AU9" s="3" t="s">
        <v>59</v>
      </c>
      <c r="AV9" s="3" t="s">
        <v>2</v>
      </c>
      <c r="AW9" s="3" t="s">
        <v>3</v>
      </c>
      <c r="AX9" s="3" t="s">
        <v>0</v>
      </c>
      <c r="AY9" s="3" t="s">
        <v>56</v>
      </c>
      <c r="AZ9" s="3" t="s">
        <v>57</v>
      </c>
      <c r="BA9" s="3" t="s">
        <v>58</v>
      </c>
      <c r="BB9" s="3" t="s">
        <v>59</v>
      </c>
      <c r="BC9" s="3" t="s">
        <v>2</v>
      </c>
      <c r="BD9" s="3" t="s">
        <v>3</v>
      </c>
    </row>
    <row r="10" spans="1:56" x14ac:dyDescent="0.25">
      <c r="A10" s="4" t="s">
        <v>4</v>
      </c>
      <c r="B10" s="64"/>
      <c r="C10" s="64"/>
      <c r="D10" s="64"/>
      <c r="E10" s="64"/>
      <c r="F10" s="5">
        <f t="shared" ref="F10:F16" si="0">+C10-B10+E10-D10</f>
        <v>0</v>
      </c>
      <c r="G10" s="6">
        <f t="shared" ref="G10:G16" si="1">ROUND(+F10*24,2)</f>
        <v>0</v>
      </c>
      <c r="H10" s="4" t="s">
        <v>4</v>
      </c>
      <c r="I10" s="64"/>
      <c r="J10" s="64"/>
      <c r="K10" s="64"/>
      <c r="L10" s="64"/>
      <c r="M10" s="5">
        <f>+J10-I10+L10-K10</f>
        <v>0</v>
      </c>
      <c r="N10" s="6">
        <f>ROUND(+M10*24,2)</f>
        <v>0</v>
      </c>
      <c r="O10" s="4" t="s">
        <v>4</v>
      </c>
      <c r="P10" s="64"/>
      <c r="Q10" s="64"/>
      <c r="R10" s="64"/>
      <c r="S10" s="64"/>
      <c r="T10" s="5">
        <f>+Q10-P10+S10-R10</f>
        <v>0</v>
      </c>
      <c r="U10" s="6">
        <f>ROUND(+T10*24,2)</f>
        <v>0</v>
      </c>
      <c r="V10" s="4" t="s">
        <v>4</v>
      </c>
      <c r="W10" s="64"/>
      <c r="X10" s="64"/>
      <c r="Y10" s="64"/>
      <c r="Z10" s="64"/>
      <c r="AA10" s="5">
        <f>+X10-W10+Z10-Y10</f>
        <v>0</v>
      </c>
      <c r="AB10" s="6">
        <f>ROUND(+AA10*24,2)</f>
        <v>0</v>
      </c>
      <c r="AC10" s="4" t="s">
        <v>4</v>
      </c>
      <c r="AD10" s="64"/>
      <c r="AE10" s="64"/>
      <c r="AF10" s="64"/>
      <c r="AG10" s="64"/>
      <c r="AH10" s="5">
        <f>+AE10-AD10+AG10-AF10</f>
        <v>0</v>
      </c>
      <c r="AI10" s="6">
        <f>ROUND(+AH10*24,2)</f>
        <v>0</v>
      </c>
      <c r="AJ10" s="4" t="s">
        <v>4</v>
      </c>
      <c r="AK10" s="64"/>
      <c r="AL10" s="64"/>
      <c r="AM10" s="64"/>
      <c r="AN10" s="64"/>
      <c r="AO10" s="5">
        <f>+AL10-AK10+AN10-AM10</f>
        <v>0</v>
      </c>
      <c r="AP10" s="6">
        <f>ROUND(+AO10*24,2)</f>
        <v>0</v>
      </c>
      <c r="AQ10" s="4" t="s">
        <v>4</v>
      </c>
      <c r="AR10" s="64"/>
      <c r="AS10" s="64"/>
      <c r="AT10" s="64"/>
      <c r="AU10" s="64"/>
      <c r="AV10" s="5">
        <f>+AS10-AR10+AU10-AT10</f>
        <v>0</v>
      </c>
      <c r="AW10" s="6">
        <f>ROUND(+AV10*24,2)</f>
        <v>0</v>
      </c>
      <c r="AX10" s="4" t="s">
        <v>4</v>
      </c>
      <c r="AY10" s="64"/>
      <c r="AZ10" s="64"/>
      <c r="BA10" s="64"/>
      <c r="BB10" s="64"/>
      <c r="BC10" s="5">
        <f>+AZ10-AY10+BB10-BA10</f>
        <v>0</v>
      </c>
      <c r="BD10" s="6">
        <f>ROUND(+BC10*24,2)</f>
        <v>0</v>
      </c>
    </row>
    <row r="11" spans="1:56" x14ac:dyDescent="0.25">
      <c r="A11" s="4" t="s">
        <v>5</v>
      </c>
      <c r="B11" s="64"/>
      <c r="C11" s="64"/>
      <c r="D11" s="64"/>
      <c r="E11" s="64"/>
      <c r="F11" s="5">
        <f t="shared" si="0"/>
        <v>0</v>
      </c>
      <c r="G11" s="6">
        <f t="shared" si="1"/>
        <v>0</v>
      </c>
      <c r="H11" s="4" t="s">
        <v>5</v>
      </c>
      <c r="I11" s="64"/>
      <c r="J11" s="64"/>
      <c r="K11" s="64"/>
      <c r="L11" s="64"/>
      <c r="M11" s="5">
        <f t="shared" ref="M11:M16" si="2">+J11-I11+L11-K11</f>
        <v>0</v>
      </c>
      <c r="N11" s="6">
        <f t="shared" ref="N11:N16" si="3">ROUND(+M11*24,2)</f>
        <v>0</v>
      </c>
      <c r="O11" s="4" t="s">
        <v>5</v>
      </c>
      <c r="P11" s="64"/>
      <c r="Q11" s="64"/>
      <c r="R11" s="64"/>
      <c r="S11" s="64"/>
      <c r="T11" s="5">
        <f t="shared" ref="T11:T16" si="4">+Q11-P11+S11-R11</f>
        <v>0</v>
      </c>
      <c r="U11" s="6">
        <f t="shared" ref="U11:U16" si="5">ROUND(+T11*24,2)</f>
        <v>0</v>
      </c>
      <c r="V11" s="4" t="s">
        <v>5</v>
      </c>
      <c r="W11" s="64"/>
      <c r="X11" s="64"/>
      <c r="Y11" s="64"/>
      <c r="Z11" s="64"/>
      <c r="AA11" s="5">
        <f t="shared" ref="AA11:AA16" si="6">+X11-W11+Z11-Y11</f>
        <v>0</v>
      </c>
      <c r="AB11" s="6">
        <f t="shared" ref="AB11:AB16" si="7">ROUND(+AA11*24,2)</f>
        <v>0</v>
      </c>
      <c r="AC11" s="4" t="s">
        <v>5</v>
      </c>
      <c r="AD11" s="64"/>
      <c r="AE11" s="64"/>
      <c r="AF11" s="64"/>
      <c r="AG11" s="64"/>
      <c r="AH11" s="5">
        <f t="shared" ref="AH11:AH16" si="8">+AE11-AD11+AG11-AF11</f>
        <v>0</v>
      </c>
      <c r="AI11" s="6">
        <f t="shared" ref="AI11:AI16" si="9">ROUND(+AH11*24,2)</f>
        <v>0</v>
      </c>
      <c r="AJ11" s="4" t="s">
        <v>5</v>
      </c>
      <c r="AK11" s="64"/>
      <c r="AL11" s="64"/>
      <c r="AM11" s="64"/>
      <c r="AN11" s="64"/>
      <c r="AO11" s="5">
        <f t="shared" ref="AO11:AO16" si="10">+AL11-AK11+AN11-AM11</f>
        <v>0</v>
      </c>
      <c r="AP11" s="6">
        <f t="shared" ref="AP11:AP16" si="11">ROUND(+AO11*24,2)</f>
        <v>0</v>
      </c>
      <c r="AQ11" s="4" t="s">
        <v>5</v>
      </c>
      <c r="AR11" s="64"/>
      <c r="AS11" s="64"/>
      <c r="AT11" s="64"/>
      <c r="AU11" s="64"/>
      <c r="AV11" s="5">
        <f t="shared" ref="AV11:AV16" si="12">+AS11-AR11+AU11-AT11</f>
        <v>0</v>
      </c>
      <c r="AW11" s="6">
        <f t="shared" ref="AW11:AW16" si="13">ROUND(+AV11*24,2)</f>
        <v>0</v>
      </c>
      <c r="AX11" s="4" t="s">
        <v>5</v>
      </c>
      <c r="AY11" s="64"/>
      <c r="AZ11" s="64"/>
      <c r="BA11" s="64"/>
      <c r="BB11" s="64"/>
      <c r="BC11" s="5">
        <f t="shared" ref="BC11:BC16" si="14">+AZ11-AY11+BB11-BA11</f>
        <v>0</v>
      </c>
      <c r="BD11" s="6">
        <f t="shared" ref="BD11:BD16" si="15">ROUND(+BC11*24,2)</f>
        <v>0</v>
      </c>
    </row>
    <row r="12" spans="1:56" x14ac:dyDescent="0.25">
      <c r="A12" s="4" t="s">
        <v>6</v>
      </c>
      <c r="B12" s="64"/>
      <c r="C12" s="64"/>
      <c r="D12" s="64"/>
      <c r="E12" s="64"/>
      <c r="F12" s="5">
        <f t="shared" si="0"/>
        <v>0</v>
      </c>
      <c r="G12" s="6">
        <f t="shared" si="1"/>
        <v>0</v>
      </c>
      <c r="H12" s="4" t="s">
        <v>6</v>
      </c>
      <c r="I12" s="64"/>
      <c r="J12" s="64"/>
      <c r="K12" s="64"/>
      <c r="L12" s="64"/>
      <c r="M12" s="5">
        <f t="shared" si="2"/>
        <v>0</v>
      </c>
      <c r="N12" s="6">
        <f t="shared" si="3"/>
        <v>0</v>
      </c>
      <c r="O12" s="4" t="s">
        <v>6</v>
      </c>
      <c r="P12" s="64"/>
      <c r="Q12" s="64"/>
      <c r="R12" s="64"/>
      <c r="S12" s="64"/>
      <c r="T12" s="5">
        <f t="shared" si="4"/>
        <v>0</v>
      </c>
      <c r="U12" s="6">
        <f t="shared" si="5"/>
        <v>0</v>
      </c>
      <c r="V12" s="4" t="s">
        <v>6</v>
      </c>
      <c r="W12" s="64"/>
      <c r="X12" s="64"/>
      <c r="Y12" s="64"/>
      <c r="Z12" s="64"/>
      <c r="AA12" s="5">
        <f t="shared" si="6"/>
        <v>0</v>
      </c>
      <c r="AB12" s="6">
        <f t="shared" si="7"/>
        <v>0</v>
      </c>
      <c r="AC12" s="4" t="s">
        <v>6</v>
      </c>
      <c r="AD12" s="64"/>
      <c r="AE12" s="64"/>
      <c r="AF12" s="64"/>
      <c r="AG12" s="64"/>
      <c r="AH12" s="5">
        <f t="shared" si="8"/>
        <v>0</v>
      </c>
      <c r="AI12" s="6">
        <f t="shared" si="9"/>
        <v>0</v>
      </c>
      <c r="AJ12" s="4" t="s">
        <v>6</v>
      </c>
      <c r="AK12" s="64"/>
      <c r="AL12" s="64"/>
      <c r="AM12" s="64"/>
      <c r="AN12" s="64"/>
      <c r="AO12" s="5">
        <f t="shared" si="10"/>
        <v>0</v>
      </c>
      <c r="AP12" s="6">
        <f t="shared" si="11"/>
        <v>0</v>
      </c>
      <c r="AQ12" s="4" t="s">
        <v>6</v>
      </c>
      <c r="AR12" s="64"/>
      <c r="AS12" s="64"/>
      <c r="AT12" s="64"/>
      <c r="AU12" s="64"/>
      <c r="AV12" s="5">
        <f t="shared" si="12"/>
        <v>0</v>
      </c>
      <c r="AW12" s="6">
        <f t="shared" si="13"/>
        <v>0</v>
      </c>
      <c r="AX12" s="4" t="s">
        <v>6</v>
      </c>
      <c r="AY12" s="64"/>
      <c r="AZ12" s="64"/>
      <c r="BA12" s="64"/>
      <c r="BB12" s="64"/>
      <c r="BC12" s="5">
        <f t="shared" si="14"/>
        <v>0</v>
      </c>
      <c r="BD12" s="6">
        <f t="shared" si="15"/>
        <v>0</v>
      </c>
    </row>
    <row r="13" spans="1:56" x14ac:dyDescent="0.25">
      <c r="A13" s="4" t="s">
        <v>7</v>
      </c>
      <c r="B13" s="64"/>
      <c r="C13" s="64"/>
      <c r="D13" s="64"/>
      <c r="E13" s="64"/>
      <c r="F13" s="5">
        <f t="shared" si="0"/>
        <v>0</v>
      </c>
      <c r="G13" s="6">
        <f t="shared" si="1"/>
        <v>0</v>
      </c>
      <c r="H13" s="4" t="s">
        <v>7</v>
      </c>
      <c r="I13" s="64"/>
      <c r="J13" s="64"/>
      <c r="K13" s="64"/>
      <c r="L13" s="64"/>
      <c r="M13" s="5">
        <f t="shared" si="2"/>
        <v>0</v>
      </c>
      <c r="N13" s="6">
        <f t="shared" si="3"/>
        <v>0</v>
      </c>
      <c r="O13" s="4" t="s">
        <v>7</v>
      </c>
      <c r="P13" s="64"/>
      <c r="Q13" s="64"/>
      <c r="R13" s="64"/>
      <c r="S13" s="64"/>
      <c r="T13" s="5">
        <f t="shared" si="4"/>
        <v>0</v>
      </c>
      <c r="U13" s="6">
        <f t="shared" si="5"/>
        <v>0</v>
      </c>
      <c r="V13" s="4" t="s">
        <v>7</v>
      </c>
      <c r="W13" s="64"/>
      <c r="X13" s="64"/>
      <c r="Y13" s="64"/>
      <c r="Z13" s="64"/>
      <c r="AA13" s="5">
        <f t="shared" si="6"/>
        <v>0</v>
      </c>
      <c r="AB13" s="6">
        <f t="shared" si="7"/>
        <v>0</v>
      </c>
      <c r="AC13" s="4" t="s">
        <v>7</v>
      </c>
      <c r="AD13" s="64"/>
      <c r="AE13" s="64"/>
      <c r="AF13" s="64"/>
      <c r="AG13" s="64"/>
      <c r="AH13" s="5">
        <f t="shared" si="8"/>
        <v>0</v>
      </c>
      <c r="AI13" s="6">
        <f t="shared" si="9"/>
        <v>0</v>
      </c>
      <c r="AJ13" s="4" t="s">
        <v>7</v>
      </c>
      <c r="AK13" s="64"/>
      <c r="AL13" s="64"/>
      <c r="AM13" s="64"/>
      <c r="AN13" s="64"/>
      <c r="AO13" s="5">
        <f t="shared" si="10"/>
        <v>0</v>
      </c>
      <c r="AP13" s="6">
        <f t="shared" si="11"/>
        <v>0</v>
      </c>
      <c r="AQ13" s="4" t="s">
        <v>7</v>
      </c>
      <c r="AR13" s="64"/>
      <c r="AS13" s="64"/>
      <c r="AT13" s="64"/>
      <c r="AU13" s="64"/>
      <c r="AV13" s="5">
        <f t="shared" si="12"/>
        <v>0</v>
      </c>
      <c r="AW13" s="6">
        <f t="shared" si="13"/>
        <v>0</v>
      </c>
      <c r="AX13" s="4" t="s">
        <v>7</v>
      </c>
      <c r="AY13" s="64"/>
      <c r="AZ13" s="64"/>
      <c r="BA13" s="64"/>
      <c r="BB13" s="64"/>
      <c r="BC13" s="5">
        <f t="shared" si="14"/>
        <v>0</v>
      </c>
      <c r="BD13" s="6">
        <f t="shared" si="15"/>
        <v>0</v>
      </c>
    </row>
    <row r="14" spans="1:56" x14ac:dyDescent="0.25">
      <c r="A14" s="4" t="s">
        <v>8</v>
      </c>
      <c r="B14" s="64"/>
      <c r="C14" s="64"/>
      <c r="D14" s="64"/>
      <c r="E14" s="64"/>
      <c r="F14" s="5">
        <f t="shared" si="0"/>
        <v>0</v>
      </c>
      <c r="G14" s="6">
        <f t="shared" si="1"/>
        <v>0</v>
      </c>
      <c r="H14" s="4" t="s">
        <v>8</v>
      </c>
      <c r="I14" s="64"/>
      <c r="J14" s="64"/>
      <c r="K14" s="64"/>
      <c r="L14" s="64"/>
      <c r="M14" s="5">
        <f t="shared" si="2"/>
        <v>0</v>
      </c>
      <c r="N14" s="6">
        <f t="shared" si="3"/>
        <v>0</v>
      </c>
      <c r="O14" s="4" t="s">
        <v>8</v>
      </c>
      <c r="P14" s="64"/>
      <c r="Q14" s="64"/>
      <c r="R14" s="64"/>
      <c r="S14" s="64"/>
      <c r="T14" s="5">
        <f t="shared" si="4"/>
        <v>0</v>
      </c>
      <c r="U14" s="6">
        <f t="shared" si="5"/>
        <v>0</v>
      </c>
      <c r="V14" s="4" t="s">
        <v>8</v>
      </c>
      <c r="W14" s="64"/>
      <c r="X14" s="64"/>
      <c r="Y14" s="64"/>
      <c r="Z14" s="64"/>
      <c r="AA14" s="5">
        <f t="shared" si="6"/>
        <v>0</v>
      </c>
      <c r="AB14" s="6">
        <f t="shared" si="7"/>
        <v>0</v>
      </c>
      <c r="AC14" s="4" t="s">
        <v>8</v>
      </c>
      <c r="AD14" s="64"/>
      <c r="AE14" s="64"/>
      <c r="AF14" s="64"/>
      <c r="AG14" s="64"/>
      <c r="AH14" s="5">
        <f t="shared" si="8"/>
        <v>0</v>
      </c>
      <c r="AI14" s="6">
        <f t="shared" si="9"/>
        <v>0</v>
      </c>
      <c r="AJ14" s="4" t="s">
        <v>8</v>
      </c>
      <c r="AK14" s="64"/>
      <c r="AL14" s="64"/>
      <c r="AM14" s="64"/>
      <c r="AN14" s="64"/>
      <c r="AO14" s="5">
        <f t="shared" si="10"/>
        <v>0</v>
      </c>
      <c r="AP14" s="6">
        <f t="shared" si="11"/>
        <v>0</v>
      </c>
      <c r="AQ14" s="4" t="s">
        <v>8</v>
      </c>
      <c r="AR14" s="64"/>
      <c r="AS14" s="64"/>
      <c r="AT14" s="64"/>
      <c r="AU14" s="64"/>
      <c r="AV14" s="5">
        <f t="shared" si="12"/>
        <v>0</v>
      </c>
      <c r="AW14" s="6">
        <f t="shared" si="13"/>
        <v>0</v>
      </c>
      <c r="AX14" s="4" t="s">
        <v>8</v>
      </c>
      <c r="AY14" s="64"/>
      <c r="AZ14" s="64"/>
      <c r="BA14" s="64"/>
      <c r="BB14" s="64"/>
      <c r="BC14" s="5">
        <f t="shared" si="14"/>
        <v>0</v>
      </c>
      <c r="BD14" s="6">
        <f t="shared" si="15"/>
        <v>0</v>
      </c>
    </row>
    <row r="15" spans="1:56" x14ac:dyDescent="0.25">
      <c r="A15" s="4" t="s">
        <v>9</v>
      </c>
      <c r="B15" s="64"/>
      <c r="C15" s="64"/>
      <c r="D15" s="64"/>
      <c r="E15" s="64"/>
      <c r="F15" s="5">
        <f t="shared" si="0"/>
        <v>0</v>
      </c>
      <c r="G15" s="6">
        <f t="shared" si="1"/>
        <v>0</v>
      </c>
      <c r="H15" s="4" t="s">
        <v>9</v>
      </c>
      <c r="I15" s="64"/>
      <c r="J15" s="64"/>
      <c r="K15" s="64"/>
      <c r="L15" s="64"/>
      <c r="M15" s="5">
        <f t="shared" si="2"/>
        <v>0</v>
      </c>
      <c r="N15" s="6">
        <f t="shared" si="3"/>
        <v>0</v>
      </c>
      <c r="O15" s="4" t="s">
        <v>9</v>
      </c>
      <c r="P15" s="64"/>
      <c r="Q15" s="64"/>
      <c r="R15" s="64"/>
      <c r="S15" s="64"/>
      <c r="T15" s="5">
        <f t="shared" si="4"/>
        <v>0</v>
      </c>
      <c r="U15" s="6">
        <f t="shared" si="5"/>
        <v>0</v>
      </c>
      <c r="V15" s="4" t="s">
        <v>9</v>
      </c>
      <c r="W15" s="64"/>
      <c r="X15" s="64"/>
      <c r="Y15" s="64"/>
      <c r="Z15" s="64"/>
      <c r="AA15" s="5">
        <f t="shared" si="6"/>
        <v>0</v>
      </c>
      <c r="AB15" s="6">
        <f t="shared" si="7"/>
        <v>0</v>
      </c>
      <c r="AC15" s="4" t="s">
        <v>9</v>
      </c>
      <c r="AD15" s="64"/>
      <c r="AE15" s="64"/>
      <c r="AF15" s="64"/>
      <c r="AG15" s="64"/>
      <c r="AH15" s="5">
        <f t="shared" si="8"/>
        <v>0</v>
      </c>
      <c r="AI15" s="6">
        <f t="shared" si="9"/>
        <v>0</v>
      </c>
      <c r="AJ15" s="4" t="s">
        <v>9</v>
      </c>
      <c r="AK15" s="64"/>
      <c r="AL15" s="64"/>
      <c r="AM15" s="64"/>
      <c r="AN15" s="64"/>
      <c r="AO15" s="5">
        <f t="shared" si="10"/>
        <v>0</v>
      </c>
      <c r="AP15" s="6">
        <f t="shared" si="11"/>
        <v>0</v>
      </c>
      <c r="AQ15" s="4" t="s">
        <v>9</v>
      </c>
      <c r="AR15" s="64"/>
      <c r="AS15" s="64"/>
      <c r="AT15" s="64"/>
      <c r="AU15" s="64"/>
      <c r="AV15" s="5">
        <f t="shared" si="12"/>
        <v>0</v>
      </c>
      <c r="AW15" s="6">
        <f t="shared" si="13"/>
        <v>0</v>
      </c>
      <c r="AX15" s="4" t="s">
        <v>9</v>
      </c>
      <c r="AY15" s="64"/>
      <c r="AZ15" s="64"/>
      <c r="BA15" s="64"/>
      <c r="BB15" s="64"/>
      <c r="BC15" s="5">
        <f t="shared" si="14"/>
        <v>0</v>
      </c>
      <c r="BD15" s="6">
        <f t="shared" si="15"/>
        <v>0</v>
      </c>
    </row>
    <row r="16" spans="1:56" x14ac:dyDescent="0.25">
      <c r="A16" s="4" t="s">
        <v>10</v>
      </c>
      <c r="B16" s="64"/>
      <c r="C16" s="64"/>
      <c r="D16" s="64"/>
      <c r="E16" s="64"/>
      <c r="F16" s="5">
        <f t="shared" si="0"/>
        <v>0</v>
      </c>
      <c r="G16" s="6">
        <f t="shared" si="1"/>
        <v>0</v>
      </c>
      <c r="H16" s="4" t="s">
        <v>10</v>
      </c>
      <c r="I16" s="64"/>
      <c r="J16" s="64"/>
      <c r="K16" s="64"/>
      <c r="L16" s="64"/>
      <c r="M16" s="5">
        <f t="shared" si="2"/>
        <v>0</v>
      </c>
      <c r="N16" s="6">
        <f t="shared" si="3"/>
        <v>0</v>
      </c>
      <c r="O16" s="4" t="s">
        <v>10</v>
      </c>
      <c r="P16" s="64"/>
      <c r="Q16" s="64"/>
      <c r="R16" s="64"/>
      <c r="S16" s="64"/>
      <c r="T16" s="5">
        <f t="shared" si="4"/>
        <v>0</v>
      </c>
      <c r="U16" s="6">
        <f t="shared" si="5"/>
        <v>0</v>
      </c>
      <c r="V16" s="4" t="s">
        <v>10</v>
      </c>
      <c r="W16" s="64"/>
      <c r="X16" s="64"/>
      <c r="Y16" s="64"/>
      <c r="Z16" s="64"/>
      <c r="AA16" s="5">
        <f t="shared" si="6"/>
        <v>0</v>
      </c>
      <c r="AB16" s="6">
        <f t="shared" si="7"/>
        <v>0</v>
      </c>
      <c r="AC16" s="4" t="s">
        <v>10</v>
      </c>
      <c r="AD16" s="64"/>
      <c r="AE16" s="64"/>
      <c r="AF16" s="64"/>
      <c r="AG16" s="64"/>
      <c r="AH16" s="5">
        <f t="shared" si="8"/>
        <v>0</v>
      </c>
      <c r="AI16" s="6">
        <f t="shared" si="9"/>
        <v>0</v>
      </c>
      <c r="AJ16" s="4" t="s">
        <v>10</v>
      </c>
      <c r="AK16" s="64"/>
      <c r="AL16" s="64"/>
      <c r="AM16" s="64"/>
      <c r="AN16" s="64"/>
      <c r="AO16" s="5">
        <f t="shared" si="10"/>
        <v>0</v>
      </c>
      <c r="AP16" s="6">
        <f t="shared" si="11"/>
        <v>0</v>
      </c>
      <c r="AQ16" s="4" t="s">
        <v>10</v>
      </c>
      <c r="AR16" s="64"/>
      <c r="AS16" s="64"/>
      <c r="AT16" s="64"/>
      <c r="AU16" s="64"/>
      <c r="AV16" s="5">
        <f t="shared" si="12"/>
        <v>0</v>
      </c>
      <c r="AW16" s="6">
        <f t="shared" si="13"/>
        <v>0</v>
      </c>
      <c r="AX16" s="4" t="s">
        <v>10</v>
      </c>
      <c r="AY16" s="64"/>
      <c r="AZ16" s="64"/>
      <c r="BA16" s="64"/>
      <c r="BB16" s="64"/>
      <c r="BC16" s="5">
        <f t="shared" si="14"/>
        <v>0</v>
      </c>
      <c r="BD16" s="6">
        <f t="shared" si="15"/>
        <v>0</v>
      </c>
    </row>
    <row r="17" spans="1:56" x14ac:dyDescent="0.25">
      <c r="B17" s="7"/>
      <c r="C17" s="7"/>
      <c r="D17" s="7"/>
      <c r="E17" s="7"/>
      <c r="F17" s="4" t="s">
        <v>46</v>
      </c>
      <c r="G17" s="6">
        <f>SUM(G10:G16)</f>
        <v>0</v>
      </c>
      <c r="I17" s="7"/>
      <c r="J17" s="7"/>
      <c r="K17" s="7"/>
      <c r="L17" s="7"/>
      <c r="M17" s="4" t="s">
        <v>46</v>
      </c>
      <c r="N17" s="6">
        <f>SUM(N10:N16)</f>
        <v>0</v>
      </c>
      <c r="P17" s="7"/>
      <c r="Q17" s="7"/>
      <c r="R17" s="7"/>
      <c r="S17" s="7"/>
      <c r="T17" s="4" t="s">
        <v>46</v>
      </c>
      <c r="U17" s="6">
        <f>SUM(U10:U16)</f>
        <v>0</v>
      </c>
      <c r="W17" s="7"/>
      <c r="X17" s="7"/>
      <c r="Y17" s="7"/>
      <c r="Z17" s="7"/>
      <c r="AA17" s="4" t="s">
        <v>46</v>
      </c>
      <c r="AB17" s="6">
        <f>SUM(AB10:AB16)</f>
        <v>0</v>
      </c>
      <c r="AD17" s="7"/>
      <c r="AE17" s="7"/>
      <c r="AF17" s="7"/>
      <c r="AG17" s="7"/>
      <c r="AH17" s="4" t="s">
        <v>46</v>
      </c>
      <c r="AI17" s="6">
        <f>SUM(AI10:AI16)</f>
        <v>0</v>
      </c>
      <c r="AK17" s="7"/>
      <c r="AL17" s="7"/>
      <c r="AM17" s="7"/>
      <c r="AN17" s="7"/>
      <c r="AO17" s="4" t="s">
        <v>46</v>
      </c>
      <c r="AP17" s="6">
        <f>SUM(AP10:AP16)</f>
        <v>0</v>
      </c>
      <c r="AR17" s="7"/>
      <c r="AS17" s="7"/>
      <c r="AT17" s="7"/>
      <c r="AU17" s="7"/>
      <c r="AV17" s="4" t="s">
        <v>46</v>
      </c>
      <c r="AW17" s="6">
        <f>SUM(AW10:AW16)</f>
        <v>0</v>
      </c>
      <c r="AY17" s="7"/>
      <c r="AZ17" s="7"/>
      <c r="BA17" s="7"/>
      <c r="BB17" s="7"/>
      <c r="BC17" s="4" t="s">
        <v>46</v>
      </c>
      <c r="BD17" s="6">
        <f>SUM(BD10:BD16)</f>
        <v>0</v>
      </c>
    </row>
    <row r="19" spans="1:56" x14ac:dyDescent="0.25">
      <c r="B19" s="141" t="str">
        <f>+IF(K17=0,"Nombre d'heures :","Nombre d'heures (Inf. ou égales à 45 hrs / sem) :")</f>
        <v>Nombre d'heures :</v>
      </c>
      <c r="C19" s="142"/>
      <c r="D19" s="142"/>
      <c r="E19" s="142"/>
      <c r="F19" s="143"/>
      <c r="G19" s="11">
        <f>+IF(G17&gt;=45,45,G17)</f>
        <v>0</v>
      </c>
      <c r="I19" s="141" t="str">
        <f>+IF(R17=0,"Nombre d'heures :","Nombre d'heures (Inf. ou égales à 45 hrs / sem) :")</f>
        <v>Nombre d'heures :</v>
      </c>
      <c r="J19" s="142"/>
      <c r="K19" s="142"/>
      <c r="L19" s="142"/>
      <c r="M19" s="143"/>
      <c r="N19" s="11">
        <f>+IF(N17&gt;=45,45,N17)</f>
        <v>0</v>
      </c>
      <c r="P19" s="141" t="str">
        <f>+IF(Y17=0,"Nombre d'heures :","Nombre d'heures (Inf. ou égales à 45 hrs / sem) :")</f>
        <v>Nombre d'heures :</v>
      </c>
      <c r="Q19" s="142"/>
      <c r="R19" s="142"/>
      <c r="S19" s="142"/>
      <c r="T19" s="143"/>
      <c r="U19" s="11">
        <f>+IF(U17&gt;=45,45,U17)</f>
        <v>0</v>
      </c>
      <c r="W19" s="141" t="str">
        <f>+IF(AF17=0,"Nombre d'heures :","Nombre d'heures (Inf. ou égales à 45 hrs / sem) :")</f>
        <v>Nombre d'heures :</v>
      </c>
      <c r="X19" s="142"/>
      <c r="Y19" s="142"/>
      <c r="Z19" s="142"/>
      <c r="AA19" s="143"/>
      <c r="AB19" s="11">
        <f>+IF(AB17&gt;=45,45,AB17)</f>
        <v>0</v>
      </c>
      <c r="AD19" s="141" t="str">
        <f>+IF(AM17=0,"Nombre d'heures :","Nombre d'heures (Inf. ou égales à 45 hrs / sem) :")</f>
        <v>Nombre d'heures :</v>
      </c>
      <c r="AE19" s="142"/>
      <c r="AF19" s="142"/>
      <c r="AG19" s="142"/>
      <c r="AH19" s="143"/>
      <c r="AI19" s="11">
        <f>+IF(AI17&gt;=45,45,AI17)</f>
        <v>0</v>
      </c>
      <c r="AK19" s="141" t="str">
        <f>+IF(AT17=0,"Nombre d'heures :","Nombre d'heures (Inf. ou égales à 45 hrs / sem) :")</f>
        <v>Nombre d'heures :</v>
      </c>
      <c r="AL19" s="142"/>
      <c r="AM19" s="142"/>
      <c r="AN19" s="142"/>
      <c r="AO19" s="143"/>
      <c r="AP19" s="11">
        <f>+IF(AP17&gt;=45,45,AP17)</f>
        <v>0</v>
      </c>
      <c r="AR19" s="141" t="str">
        <f>+IF(BA17=0,"Nombre d'heures :","Nombre d'heures (Inf. ou égales à 45 hrs / sem) :")</f>
        <v>Nombre d'heures :</v>
      </c>
      <c r="AS19" s="142"/>
      <c r="AT19" s="142"/>
      <c r="AU19" s="142"/>
      <c r="AV19" s="143"/>
      <c r="AW19" s="11">
        <f>+IF(AW17&gt;=45,45,AW17)</f>
        <v>0</v>
      </c>
      <c r="AY19" s="141" t="str">
        <f>+IF(BH17=0,"Nombre d'heures :","Nombre d'heures (Inf. ou égales à 45 hrs / sem) :")</f>
        <v>Nombre d'heures :</v>
      </c>
      <c r="AZ19" s="142"/>
      <c r="BA19" s="142"/>
      <c r="BB19" s="142"/>
      <c r="BC19" s="143"/>
      <c r="BD19" s="11">
        <f>+IF(BD17&gt;=45,45,BD17)</f>
        <v>0</v>
      </c>
    </row>
    <row r="20" spans="1:56" x14ac:dyDescent="0.25">
      <c r="B20" s="141" t="s">
        <v>93</v>
      </c>
      <c r="C20" s="142"/>
      <c r="D20" s="142"/>
      <c r="E20" s="142"/>
      <c r="F20" s="143"/>
      <c r="G20" s="11">
        <f>+IF(G17&gt;45,G17-45,0)</f>
        <v>0</v>
      </c>
      <c r="I20" s="141" t="s">
        <v>93</v>
      </c>
      <c r="J20" s="142"/>
      <c r="K20" s="142"/>
      <c r="L20" s="142"/>
      <c r="M20" s="143"/>
      <c r="N20" s="11">
        <f>+IF(N17&gt;45,N17-45,0)</f>
        <v>0</v>
      </c>
      <c r="P20" s="141" t="s">
        <v>93</v>
      </c>
      <c r="Q20" s="142"/>
      <c r="R20" s="142"/>
      <c r="S20" s="142"/>
      <c r="T20" s="143"/>
      <c r="U20" s="11">
        <f>+IF(U17&gt;45,U17-45,0)</f>
        <v>0</v>
      </c>
      <c r="W20" s="141" t="s">
        <v>93</v>
      </c>
      <c r="X20" s="142"/>
      <c r="Y20" s="142"/>
      <c r="Z20" s="142"/>
      <c r="AA20" s="143"/>
      <c r="AB20" s="11">
        <f>+IF(AB17&gt;45,AB17-45,0)</f>
        <v>0</v>
      </c>
      <c r="AD20" s="141" t="s">
        <v>93</v>
      </c>
      <c r="AE20" s="142"/>
      <c r="AF20" s="142"/>
      <c r="AG20" s="142"/>
      <c r="AH20" s="143"/>
      <c r="AI20" s="11">
        <f>+IF(AI17&gt;45,AI17-45,0)</f>
        <v>0</v>
      </c>
      <c r="AK20" s="141" t="s">
        <v>93</v>
      </c>
      <c r="AL20" s="142"/>
      <c r="AM20" s="142"/>
      <c r="AN20" s="142"/>
      <c r="AO20" s="143"/>
      <c r="AP20" s="11">
        <f>+IF(AP17&gt;45,AP17-45,0)</f>
        <v>0</v>
      </c>
      <c r="AR20" s="141" t="s">
        <v>93</v>
      </c>
      <c r="AS20" s="142"/>
      <c r="AT20" s="142"/>
      <c r="AU20" s="142"/>
      <c r="AV20" s="143"/>
      <c r="AW20" s="11">
        <f>+IF(AW17&gt;45,AW17-45,0)</f>
        <v>0</v>
      </c>
      <c r="AY20" s="141" t="s">
        <v>93</v>
      </c>
      <c r="AZ20" s="142"/>
      <c r="BA20" s="142"/>
      <c r="BB20" s="142"/>
      <c r="BC20" s="143"/>
      <c r="BD20" s="11">
        <f>+IF(BD17&gt;45,BD17-45,0)</f>
        <v>0</v>
      </c>
    </row>
    <row r="22" spans="1:56" x14ac:dyDescent="0.25">
      <c r="B22" s="8"/>
      <c r="C22" s="9"/>
      <c r="D22" s="9"/>
      <c r="E22" s="9"/>
      <c r="F22" s="12" t="s">
        <v>11</v>
      </c>
      <c r="G22" s="65"/>
      <c r="I22" s="8"/>
      <c r="J22" s="9"/>
      <c r="K22" s="9"/>
      <c r="L22" s="9"/>
      <c r="M22" s="12" t="s">
        <v>11</v>
      </c>
      <c r="N22" s="65"/>
      <c r="P22" s="8"/>
      <c r="Q22" s="9"/>
      <c r="R22" s="9"/>
      <c r="S22" s="9"/>
      <c r="T22" s="12" t="s">
        <v>11</v>
      </c>
      <c r="U22" s="65"/>
      <c r="W22" s="8"/>
      <c r="X22" s="9"/>
      <c r="Y22" s="9"/>
      <c r="Z22" s="9"/>
      <c r="AA22" s="12" t="s">
        <v>11</v>
      </c>
      <c r="AB22" s="65"/>
      <c r="AD22" s="8"/>
      <c r="AE22" s="9"/>
      <c r="AF22" s="9"/>
      <c r="AG22" s="9"/>
      <c r="AH22" s="12" t="s">
        <v>11</v>
      </c>
      <c r="AI22" s="65"/>
      <c r="AK22" s="8"/>
      <c r="AL22" s="9"/>
      <c r="AM22" s="9"/>
      <c r="AN22" s="9"/>
      <c r="AO22" s="12" t="s">
        <v>11</v>
      </c>
      <c r="AP22" s="65"/>
      <c r="AR22" s="8"/>
      <c r="AS22" s="9"/>
      <c r="AT22" s="9"/>
      <c r="AU22" s="9"/>
      <c r="AV22" s="12" t="s">
        <v>11</v>
      </c>
      <c r="AW22" s="65"/>
      <c r="AY22" s="8"/>
      <c r="AZ22" s="9"/>
      <c r="BA22" s="9"/>
      <c r="BB22" s="9"/>
      <c r="BC22" s="12" t="s">
        <v>11</v>
      </c>
      <c r="BD22" s="65"/>
    </row>
    <row r="23" spans="1:56" x14ac:dyDescent="0.25">
      <c r="BD23" t="s">
        <v>95</v>
      </c>
    </row>
    <row r="24" spans="1:56" x14ac:dyDescent="0.25">
      <c r="B24" s="141" t="str">
        <f>+IF(K22=0,"Total annuel heures :","Total annuel heures (Inf. ou égales à 45 hrs / sem) :")</f>
        <v>Total annuel heures :</v>
      </c>
      <c r="C24" s="142"/>
      <c r="D24" s="142"/>
      <c r="E24" s="142"/>
      <c r="F24" s="143"/>
      <c r="G24" s="11">
        <f>+G19*G22</f>
        <v>0</v>
      </c>
      <c r="I24" s="141" t="str">
        <f>+IF(R22=0,"Total annuel heures :","Total annuel heures (Inf. ou égales à 45 hrs / sem) :")</f>
        <v>Total annuel heures :</v>
      </c>
      <c r="J24" s="142"/>
      <c r="K24" s="142"/>
      <c r="L24" s="142"/>
      <c r="M24" s="143"/>
      <c r="N24" s="11">
        <f>+N19*N22</f>
        <v>0</v>
      </c>
      <c r="P24" s="141" t="str">
        <f>+IF(Y22=0,"Total annuel heures :","Total annuel heures (Inf. ou égales à 45 hrs / sem) :")</f>
        <v>Total annuel heures :</v>
      </c>
      <c r="Q24" s="142"/>
      <c r="R24" s="142"/>
      <c r="S24" s="142"/>
      <c r="T24" s="143"/>
      <c r="U24" s="11">
        <f>+U19*U22</f>
        <v>0</v>
      </c>
      <c r="W24" s="141" t="str">
        <f>+IF(AF22=0,"Total annuel heures :","Total annuel heures (Inf. ou égales à 45 hrs / sem) :")</f>
        <v>Total annuel heures :</v>
      </c>
      <c r="X24" s="142"/>
      <c r="Y24" s="142"/>
      <c r="Z24" s="142"/>
      <c r="AA24" s="143"/>
      <c r="AB24" s="11">
        <f>+AB19*AB22</f>
        <v>0</v>
      </c>
      <c r="AD24" s="141" t="str">
        <f>+IF(AM22=0,"Total annuel heures :","Total annuel heures (Inf. ou égales à 45 hrs / sem) :")</f>
        <v>Total annuel heures :</v>
      </c>
      <c r="AE24" s="142"/>
      <c r="AF24" s="142"/>
      <c r="AG24" s="142"/>
      <c r="AH24" s="143"/>
      <c r="AI24" s="11">
        <f>+AI19*AI22</f>
        <v>0</v>
      </c>
      <c r="AK24" s="141" t="str">
        <f>+IF(AT22=0,"Total annuel heures :","Total annuel heures (Inf. ou égales à 45 hrs / sem) :")</f>
        <v>Total annuel heures :</v>
      </c>
      <c r="AL24" s="142"/>
      <c r="AM24" s="142"/>
      <c r="AN24" s="142"/>
      <c r="AO24" s="143"/>
      <c r="AP24" s="11">
        <f>+AP19*AP22</f>
        <v>0</v>
      </c>
      <c r="AR24" s="141" t="str">
        <f>+IF(BA22=0,"Total annuel heures :","Total annuel heures (Inf. ou égales à 45 hrs / sem) :")</f>
        <v>Total annuel heures :</v>
      </c>
      <c r="AS24" s="142"/>
      <c r="AT24" s="142"/>
      <c r="AU24" s="142"/>
      <c r="AV24" s="143"/>
      <c r="AW24" s="11">
        <f>+AW19*AW22</f>
        <v>0</v>
      </c>
      <c r="AY24" s="141" t="str">
        <f>+IF(BH22=0,"Total annuel heures :","Total annuel heures (Inf. ou égales à 45 hrs / sem) :")</f>
        <v>Total annuel heures :</v>
      </c>
      <c r="AZ24" s="142"/>
      <c r="BA24" s="142"/>
      <c r="BB24" s="142"/>
      <c r="BC24" s="143"/>
      <c r="BD24" s="11">
        <f>+BD19*BD22</f>
        <v>0</v>
      </c>
    </row>
    <row r="25" spans="1:56" x14ac:dyDescent="0.25">
      <c r="B25" s="141" t="s">
        <v>94</v>
      </c>
      <c r="C25" s="142"/>
      <c r="D25" s="142"/>
      <c r="E25" s="142"/>
      <c r="F25" s="143"/>
      <c r="G25" s="11">
        <f>+G20*G22</f>
        <v>0</v>
      </c>
      <c r="I25" s="141" t="s">
        <v>94</v>
      </c>
      <c r="J25" s="142"/>
      <c r="K25" s="142"/>
      <c r="L25" s="142"/>
      <c r="M25" s="143"/>
      <c r="N25" s="11">
        <f>+N20*N22</f>
        <v>0</v>
      </c>
      <c r="P25" s="141" t="s">
        <v>94</v>
      </c>
      <c r="Q25" s="142"/>
      <c r="R25" s="142"/>
      <c r="S25" s="142"/>
      <c r="T25" s="143"/>
      <c r="U25" s="11">
        <f>+U20*U22</f>
        <v>0</v>
      </c>
      <c r="W25" s="141" t="s">
        <v>94</v>
      </c>
      <c r="X25" s="142"/>
      <c r="Y25" s="142"/>
      <c r="Z25" s="142"/>
      <c r="AA25" s="143"/>
      <c r="AB25" s="11">
        <f>+AB20*AB22</f>
        <v>0</v>
      </c>
      <c r="AD25" s="141" t="s">
        <v>94</v>
      </c>
      <c r="AE25" s="142"/>
      <c r="AF25" s="142"/>
      <c r="AG25" s="142"/>
      <c r="AH25" s="143"/>
      <c r="AI25" s="11">
        <f>+AI20*AI22</f>
        <v>0</v>
      </c>
      <c r="AK25" s="141" t="s">
        <v>94</v>
      </c>
      <c r="AL25" s="142"/>
      <c r="AM25" s="142"/>
      <c r="AN25" s="142"/>
      <c r="AO25" s="143"/>
      <c r="AP25" s="11">
        <f>+AP20*AP22</f>
        <v>0</v>
      </c>
      <c r="AR25" s="141" t="s">
        <v>94</v>
      </c>
      <c r="AS25" s="142"/>
      <c r="AT25" s="142"/>
      <c r="AU25" s="142"/>
      <c r="AV25" s="143"/>
      <c r="AW25" s="11">
        <f>+AW20*AW22</f>
        <v>0</v>
      </c>
      <c r="AY25" s="141" t="s">
        <v>94</v>
      </c>
      <c r="AZ25" s="142"/>
      <c r="BA25" s="142"/>
      <c r="BB25" s="142"/>
      <c r="BC25" s="143"/>
      <c r="BD25" s="11">
        <f>+BD20*BD22</f>
        <v>0</v>
      </c>
    </row>
    <row r="27" spans="1:56" x14ac:dyDescent="0.25">
      <c r="B27" s="8"/>
      <c r="C27" s="9"/>
      <c r="D27" s="9"/>
      <c r="E27" s="9"/>
      <c r="F27" s="10" t="s">
        <v>39</v>
      </c>
      <c r="G27" s="36">
        <f>+COUNTIF(G10:G16,"&gt;0,001")*G22</f>
        <v>0</v>
      </c>
      <c r="I27" s="8"/>
      <c r="J27" s="9"/>
      <c r="K27" s="9"/>
      <c r="L27" s="9"/>
      <c r="M27" s="10" t="s">
        <v>39</v>
      </c>
      <c r="N27" s="36">
        <f>+COUNTIF(N10:N16,"&gt;0,001")*N22</f>
        <v>0</v>
      </c>
      <c r="P27" s="8"/>
      <c r="Q27" s="9"/>
      <c r="R27" s="9"/>
      <c r="S27" s="9"/>
      <c r="T27" s="10" t="s">
        <v>39</v>
      </c>
      <c r="U27" s="36">
        <f>+COUNTIF(U10:U16,"&gt;0,001")*U22</f>
        <v>0</v>
      </c>
      <c r="W27" s="8"/>
      <c r="X27" s="9"/>
      <c r="Y27" s="9"/>
      <c r="Z27" s="9"/>
      <c r="AA27" s="10" t="s">
        <v>39</v>
      </c>
      <c r="AB27" s="36">
        <f>+COUNTIF(AB10:AB16,"&gt;0,001")*AB22</f>
        <v>0</v>
      </c>
      <c r="AD27" s="8"/>
      <c r="AE27" s="9"/>
      <c r="AF27" s="9"/>
      <c r="AG27" s="9"/>
      <c r="AH27" s="10" t="s">
        <v>39</v>
      </c>
      <c r="AI27" s="36">
        <f>+COUNTIF(AI10:AI16,"&gt;0,001")*AI22</f>
        <v>0</v>
      </c>
      <c r="AK27" s="8"/>
      <c r="AL27" s="9"/>
      <c r="AM27" s="9"/>
      <c r="AN27" s="9"/>
      <c r="AO27" s="10" t="s">
        <v>39</v>
      </c>
      <c r="AP27" s="36">
        <f>+COUNTIF(AP10:AP16,"&gt;0,001")*AP22</f>
        <v>0</v>
      </c>
      <c r="AR27" s="8"/>
      <c r="AS27" s="9"/>
      <c r="AT27" s="9"/>
      <c r="AU27" s="9"/>
      <c r="AV27" s="10" t="s">
        <v>39</v>
      </c>
      <c r="AW27" s="36">
        <f>+COUNTIF(AW10:AW16,"&gt;0,001")*AW22</f>
        <v>0</v>
      </c>
      <c r="AY27" s="8"/>
      <c r="AZ27" s="9"/>
      <c r="BA27" s="9"/>
      <c r="BB27" s="9"/>
      <c r="BC27" s="10" t="s">
        <v>39</v>
      </c>
      <c r="BD27" s="36">
        <f>+COUNTIF(BD10:BD16,"&gt;0,001")*BD22</f>
        <v>0</v>
      </c>
    </row>
    <row r="28" spans="1:56" x14ac:dyDescent="0.25">
      <c r="F28" s="1"/>
      <c r="G28" s="17"/>
      <c r="M28" s="1"/>
      <c r="N28" s="17"/>
      <c r="T28" s="1"/>
      <c r="U28" s="17"/>
      <c r="AA28" s="1"/>
      <c r="AB28" s="17"/>
      <c r="AH28" s="1"/>
      <c r="AI28" s="17"/>
      <c r="AO28" s="1"/>
      <c r="AP28" s="17"/>
      <c r="AV28" s="1"/>
      <c r="AW28" s="17"/>
      <c r="BC28" s="1"/>
      <c r="BD28" s="17"/>
    </row>
    <row r="30" spans="1:56" ht="18.75" x14ac:dyDescent="0.3">
      <c r="A30" s="118" t="s">
        <v>19</v>
      </c>
      <c r="B30" s="119"/>
      <c r="C30" s="119"/>
      <c r="D30" s="119"/>
      <c r="E30" s="119"/>
      <c r="F30" s="119"/>
      <c r="G30" s="120"/>
      <c r="M30" s="111" t="s">
        <v>72</v>
      </c>
      <c r="N30" s="112" t="s">
        <v>61</v>
      </c>
    </row>
    <row r="32" spans="1:56" x14ac:dyDescent="0.25">
      <c r="F32" s="1" t="s">
        <v>11</v>
      </c>
      <c r="G32" s="13">
        <f>+G22+N22+U22+AB22+AI22+AP22+AW22+BD22</f>
        <v>0</v>
      </c>
      <c r="M32" s="1" t="s">
        <v>21</v>
      </c>
      <c r="N32" s="51">
        <f ca="1">+IF(N30="OUI",VLOOKUP(D5,base,3,TRUE),VLOOKUP(D5,base,2,TRUE))</f>
        <v>0.88639999999999997</v>
      </c>
    </row>
    <row r="34" spans="1:14" x14ac:dyDescent="0.25">
      <c r="F34" s="1" t="s">
        <v>20</v>
      </c>
      <c r="G34" s="14" t="str">
        <f>+IF(G32=52,"COMPLETE", IF(AND(0&lt;G32,G32&lt;47),"INCOMPLETE",IF(G32=0,"","ERREUR")))</f>
        <v/>
      </c>
    </row>
    <row r="36" spans="1:14" x14ac:dyDescent="0.25">
      <c r="F36" s="15" t="s">
        <v>47</v>
      </c>
      <c r="G36" s="14">
        <f>+IF(G32=52,52, IF(G32&lt;47,G32,"ERREUR"))</f>
        <v>0</v>
      </c>
      <c r="M36" s="1" t="s">
        <v>97</v>
      </c>
      <c r="N36" s="108">
        <v>0.1</v>
      </c>
    </row>
    <row r="38" spans="1:14" x14ac:dyDescent="0.25">
      <c r="F38" s="1" t="s">
        <v>27</v>
      </c>
      <c r="G38" s="66"/>
      <c r="M38" s="1" t="s">
        <v>98</v>
      </c>
      <c r="N38" s="16">
        <f>+G38*(1+N36)</f>
        <v>0</v>
      </c>
    </row>
    <row r="39" spans="1:14" x14ac:dyDescent="0.25">
      <c r="F39" s="1"/>
    </row>
    <row r="40" spans="1:14" x14ac:dyDescent="0.25">
      <c r="F40" s="1" t="s">
        <v>22</v>
      </c>
      <c r="G40" s="16">
        <f ca="1">+G38*N32</f>
        <v>0</v>
      </c>
      <c r="M40" s="1" t="s">
        <v>28</v>
      </c>
      <c r="N40" s="109"/>
    </row>
    <row r="41" spans="1:14" x14ac:dyDescent="0.25">
      <c r="F41" s="1"/>
      <c r="G41" s="16"/>
      <c r="N41" s="110"/>
    </row>
    <row r="42" spans="1:14" x14ac:dyDescent="0.25">
      <c r="F42" s="1" t="str">
        <f>+IF(G43=0,"Total annuel heures :","Total annuel heures (Inf. ou égales à 45 hrs / sem) :")</f>
        <v>Total annuel heures :</v>
      </c>
      <c r="G42" s="17">
        <f>IF(G32,(G24+N24+U24+AB24+AI24+AP24+AW24+BD24)*G36/G32,0)</f>
        <v>0</v>
      </c>
      <c r="M42" s="1" t="s">
        <v>52</v>
      </c>
      <c r="N42" s="109"/>
    </row>
    <row r="43" spans="1:14" x14ac:dyDescent="0.25">
      <c r="F43" s="1" t="s">
        <v>94</v>
      </c>
      <c r="G43" s="17">
        <f>IF(G32,(G25+N25+U25+AB25+AI25+AP25+AW25+BD25)*G36/G32,0)</f>
        <v>0</v>
      </c>
      <c r="N43" s="110"/>
    </row>
    <row r="44" spans="1:14" x14ac:dyDescent="0.25">
      <c r="F44" s="1"/>
      <c r="G44" s="17"/>
      <c r="M44" s="1" t="s">
        <v>53</v>
      </c>
      <c r="N44" s="109"/>
    </row>
    <row r="45" spans="1:14" x14ac:dyDescent="0.25">
      <c r="F45" s="1" t="s">
        <v>39</v>
      </c>
      <c r="G45" s="38">
        <f>+G27+N27+U27+AB27+AI27+AP27+AW27+BD27</f>
        <v>0</v>
      </c>
      <c r="N45" s="110"/>
    </row>
    <row r="46" spans="1:14" x14ac:dyDescent="0.25">
      <c r="F46" s="1"/>
      <c r="G46" s="16"/>
      <c r="M46" s="1" t="s">
        <v>51</v>
      </c>
      <c r="N46" s="109"/>
    </row>
    <row r="47" spans="1:14" ht="18.75" x14ac:dyDescent="0.3">
      <c r="A47" s="118" t="s">
        <v>23</v>
      </c>
      <c r="B47" s="119"/>
      <c r="C47" s="119"/>
      <c r="D47" s="119"/>
      <c r="E47" s="119"/>
      <c r="F47" s="119"/>
      <c r="G47" s="120"/>
    </row>
    <row r="48" spans="1:14" ht="15.75" customHeight="1" x14ac:dyDescent="0.3">
      <c r="A48" s="37"/>
      <c r="B48" s="37"/>
      <c r="C48" s="37"/>
      <c r="D48" s="37"/>
      <c r="E48" s="37"/>
      <c r="F48" s="37"/>
      <c r="G48" s="37"/>
    </row>
    <row r="49" spans="1:7" ht="15.75" customHeight="1" x14ac:dyDescent="0.3">
      <c r="A49" s="37"/>
      <c r="F49" s="1" t="s">
        <v>40</v>
      </c>
      <c r="G49" s="38">
        <f>+G45/12</f>
        <v>0</v>
      </c>
    </row>
    <row r="50" spans="1:7" ht="15.75" customHeight="1" x14ac:dyDescent="0.25"/>
    <row r="51" spans="1:7" x14ac:dyDescent="0.25">
      <c r="F51" s="15" t="str">
        <f>+IF(G43=0,"Nombre d'heures mensualisées :","Nbre d'heures mens. (Inf. ou égales à 45 hrs / sem)  :")</f>
        <v>Nombre d'heures mensualisées :</v>
      </c>
      <c r="G51" s="18">
        <f>+G42/12</f>
        <v>0</v>
      </c>
    </row>
    <row r="52" spans="1:7" x14ac:dyDescent="0.25">
      <c r="F52" s="15" t="s">
        <v>96</v>
      </c>
      <c r="G52" s="18">
        <f>+G43/12</f>
        <v>0</v>
      </c>
    </row>
    <row r="53" spans="1:7" x14ac:dyDescent="0.25">
      <c r="F53" s="1"/>
      <c r="G53" s="19">
        <f>+G52+G51</f>
        <v>0</v>
      </c>
    </row>
    <row r="55" spans="1:7" x14ac:dyDescent="0.25">
      <c r="E55" s="14"/>
      <c r="F55" s="15" t="s">
        <v>100</v>
      </c>
      <c r="G55" s="20">
        <f>+(G51*G38)+(G52*G38)</f>
        <v>0</v>
      </c>
    </row>
  </sheetData>
  <sheetProtection algorithmName="SHA-512" hashValue="YOGmJgSmvUYp/QEsVGDpsk8IHRJS30j5pmLmp6Gtm/2oDBc5Ru/2EkU13FoUphwD0pklwWACiyor85IP9MWOhw==" saltValue="KRoaSZ1yAGQh74Qcd373qg==" spinCount="100000" sheet="1" objects="1" scenarios="1" formatCells="0" formatColumns="0" formatRows="0" insertColumns="0" insertRows="0" insertHyperlinks="0" sort="0" autoFilter="0" pivotTables="0"/>
  <mergeCells count="45">
    <mergeCell ref="AY24:BC24"/>
    <mergeCell ref="P25:T25"/>
    <mergeCell ref="W25:AA25"/>
    <mergeCell ref="AD25:AH25"/>
    <mergeCell ref="AK25:AO25"/>
    <mergeCell ref="AR25:AV25"/>
    <mergeCell ref="AY25:BC25"/>
    <mergeCell ref="P24:T24"/>
    <mergeCell ref="W24:AA24"/>
    <mergeCell ref="AD24:AH24"/>
    <mergeCell ref="AK24:AO24"/>
    <mergeCell ref="AR24:AV24"/>
    <mergeCell ref="AY19:BC19"/>
    <mergeCell ref="P20:T20"/>
    <mergeCell ref="W20:AA20"/>
    <mergeCell ref="AD20:AH20"/>
    <mergeCell ref="AK20:AO20"/>
    <mergeCell ref="AR20:AV20"/>
    <mergeCell ref="AY20:BC20"/>
    <mergeCell ref="P19:T19"/>
    <mergeCell ref="W19:AA19"/>
    <mergeCell ref="AD19:AH19"/>
    <mergeCell ref="AK19:AO19"/>
    <mergeCell ref="AR19:AV19"/>
    <mergeCell ref="I24:M24"/>
    <mergeCell ref="I25:M25"/>
    <mergeCell ref="B19:F19"/>
    <mergeCell ref="B20:F20"/>
    <mergeCell ref="B24:F24"/>
    <mergeCell ref="A1:N1"/>
    <mergeCell ref="AX8:BD8"/>
    <mergeCell ref="A30:G30"/>
    <mergeCell ref="A47:G47"/>
    <mergeCell ref="D3:F3"/>
    <mergeCell ref="AQ8:AW8"/>
    <mergeCell ref="AJ8:AP8"/>
    <mergeCell ref="AC8:AI8"/>
    <mergeCell ref="V8:AB8"/>
    <mergeCell ref="O8:U8"/>
    <mergeCell ref="H8:N8"/>
    <mergeCell ref="A8:G8"/>
    <mergeCell ref="K2:Q2"/>
    <mergeCell ref="B25:F25"/>
    <mergeCell ref="I19:M19"/>
    <mergeCell ref="I20:M20"/>
  </mergeCells>
  <conditionalFormatting sqref="B10:E16">
    <cfRule type="notContainsBlanks" dxfId="206" priority="30">
      <formula>LEN(TRIM(B10))&gt;0</formula>
    </cfRule>
  </conditionalFormatting>
  <conditionalFormatting sqref="B20:F20">
    <cfRule type="expression" dxfId="205" priority="76">
      <formula>G17=0</formula>
    </cfRule>
  </conditionalFormatting>
  <conditionalFormatting sqref="B25:F25">
    <cfRule type="expression" dxfId="204" priority="75">
      <formula>G17=0</formula>
    </cfRule>
  </conditionalFormatting>
  <conditionalFormatting sqref="D3:F3">
    <cfRule type="notContainsBlanks" dxfId="203" priority="31">
      <formula>LEN(TRIM(D3))&gt;0</formula>
    </cfRule>
  </conditionalFormatting>
  <conditionalFormatting sqref="F43 F52">
    <cfRule type="expression" dxfId="202" priority="36">
      <formula>$G$43=0</formula>
    </cfRule>
  </conditionalFormatting>
  <conditionalFormatting sqref="G20">
    <cfRule type="expression" dxfId="201" priority="74">
      <formula>G17=0</formula>
    </cfRule>
  </conditionalFormatting>
  <conditionalFormatting sqref="G22">
    <cfRule type="cellIs" dxfId="200" priority="44" operator="between">
      <formula>47</formula>
      <formula>51</formula>
    </cfRule>
    <cfRule type="notContainsBlanks" dxfId="199" priority="29">
      <formula>LEN(TRIM(G22))&gt;0</formula>
    </cfRule>
  </conditionalFormatting>
  <conditionalFormatting sqref="G25">
    <cfRule type="expression" dxfId="198" priority="73">
      <formula>G17=0</formula>
    </cfRule>
  </conditionalFormatting>
  <conditionalFormatting sqref="G32">
    <cfRule type="cellIs" dxfId="197" priority="77" operator="greaterThanOrEqual">
      <formula>52.0000001</formula>
    </cfRule>
    <cfRule type="cellIs" dxfId="196" priority="78" operator="between">
      <formula>46.9999999999</formula>
      <formula>51.99999</formula>
    </cfRule>
  </conditionalFormatting>
  <conditionalFormatting sqref="G38">
    <cfRule type="notContainsBlanks" dxfId="195" priority="7">
      <formula>LEN(TRIM(G38))&gt;0</formula>
    </cfRule>
  </conditionalFormatting>
  <conditionalFormatting sqref="G43">
    <cfRule type="cellIs" dxfId="194" priority="35" operator="equal">
      <formula>0</formula>
    </cfRule>
  </conditionalFormatting>
  <conditionalFormatting sqref="G52">
    <cfRule type="cellIs" dxfId="193" priority="33" operator="equal">
      <formula>0</formula>
    </cfRule>
  </conditionalFormatting>
  <conditionalFormatting sqref="G53">
    <cfRule type="expression" dxfId="192" priority="32">
      <formula>$G$52=0</formula>
    </cfRule>
  </conditionalFormatting>
  <conditionalFormatting sqref="I10:L16">
    <cfRule type="notContainsBlanks" dxfId="191" priority="28">
      <formula>LEN(TRIM(I10))&gt;0</formula>
    </cfRule>
  </conditionalFormatting>
  <conditionalFormatting sqref="I20:M20">
    <cfRule type="expression" dxfId="190" priority="72">
      <formula>N17=0</formula>
    </cfRule>
  </conditionalFormatting>
  <conditionalFormatting sqref="I25:M25">
    <cfRule type="expression" dxfId="189" priority="58">
      <formula>N17=0</formula>
    </cfRule>
  </conditionalFormatting>
  <conditionalFormatting sqref="N20">
    <cfRule type="expression" dxfId="188" priority="71">
      <formula>N17=0</formula>
    </cfRule>
  </conditionalFormatting>
  <conditionalFormatting sqref="N22">
    <cfRule type="notContainsBlanks" dxfId="187" priority="20">
      <formula>LEN(TRIM(N22))&gt;0</formula>
    </cfRule>
    <cfRule type="cellIs" dxfId="186" priority="21" operator="between">
      <formula>47</formula>
      <formula>51</formula>
    </cfRule>
  </conditionalFormatting>
  <conditionalFormatting sqref="N25">
    <cfRule type="expression" dxfId="185" priority="57">
      <formula>N17=0</formula>
    </cfRule>
  </conditionalFormatting>
  <conditionalFormatting sqref="N36">
    <cfRule type="notContainsBlanks" dxfId="184" priority="5">
      <formula>LEN(TRIM(N36))&gt;0</formula>
    </cfRule>
  </conditionalFormatting>
  <conditionalFormatting sqref="N40">
    <cfRule type="notContainsBlanks" dxfId="183" priority="4">
      <formula>LEN(TRIM(N40))&gt;0</formula>
    </cfRule>
  </conditionalFormatting>
  <conditionalFormatting sqref="N42">
    <cfRule type="notContainsBlanks" dxfId="182" priority="3">
      <formula>LEN(TRIM(N42))&gt;0</formula>
    </cfRule>
  </conditionalFormatting>
  <conditionalFormatting sqref="N44">
    <cfRule type="notContainsBlanks" dxfId="181" priority="2">
      <formula>LEN(TRIM(N44))&gt;0</formula>
    </cfRule>
  </conditionalFormatting>
  <conditionalFormatting sqref="N46">
    <cfRule type="notContainsBlanks" dxfId="180" priority="1">
      <formula>LEN(TRIM(N46))&gt;0</formula>
    </cfRule>
  </conditionalFormatting>
  <conditionalFormatting sqref="P10:S16">
    <cfRule type="notContainsBlanks" dxfId="179" priority="27">
      <formula>LEN(TRIM(P10))&gt;0</formula>
    </cfRule>
  </conditionalFormatting>
  <conditionalFormatting sqref="P20:T20">
    <cfRule type="expression" dxfId="178" priority="70">
      <formula>U17=0</formula>
    </cfRule>
  </conditionalFormatting>
  <conditionalFormatting sqref="P25:T25">
    <cfRule type="expression" dxfId="177" priority="56">
      <formula>U17=0</formula>
    </cfRule>
  </conditionalFormatting>
  <conditionalFormatting sqref="U20">
    <cfRule type="expression" dxfId="176" priority="69">
      <formula>U17=0</formula>
    </cfRule>
  </conditionalFormatting>
  <conditionalFormatting sqref="U22">
    <cfRule type="cellIs" dxfId="175" priority="19" operator="between">
      <formula>47</formula>
      <formula>51</formula>
    </cfRule>
    <cfRule type="notContainsBlanks" dxfId="174" priority="18">
      <formula>LEN(TRIM(U22))&gt;0</formula>
    </cfRule>
  </conditionalFormatting>
  <conditionalFormatting sqref="U25">
    <cfRule type="expression" dxfId="173" priority="55">
      <formula>U17=0</formula>
    </cfRule>
  </conditionalFormatting>
  <conditionalFormatting sqref="W10:Z16">
    <cfRule type="notContainsBlanks" dxfId="172" priority="26">
      <formula>LEN(TRIM(W10))&gt;0</formula>
    </cfRule>
  </conditionalFormatting>
  <conditionalFormatting sqref="W20:AA20">
    <cfRule type="expression" dxfId="171" priority="68">
      <formula>AB17=0</formula>
    </cfRule>
  </conditionalFormatting>
  <conditionalFormatting sqref="W25:AA25">
    <cfRule type="expression" dxfId="170" priority="54">
      <formula>AB17=0</formula>
    </cfRule>
  </conditionalFormatting>
  <conditionalFormatting sqref="AB20">
    <cfRule type="expression" dxfId="169" priority="67">
      <formula>AB17=0</formula>
    </cfRule>
  </conditionalFormatting>
  <conditionalFormatting sqref="AB22">
    <cfRule type="notContainsBlanks" dxfId="168" priority="16">
      <formula>LEN(TRIM(AB22))&gt;0</formula>
    </cfRule>
    <cfRule type="cellIs" dxfId="167" priority="17" operator="between">
      <formula>47</formula>
      <formula>51</formula>
    </cfRule>
  </conditionalFormatting>
  <conditionalFormatting sqref="AB25">
    <cfRule type="expression" dxfId="166" priority="53">
      <formula>AB17=0</formula>
    </cfRule>
  </conditionalFormatting>
  <conditionalFormatting sqref="AD10:AG16">
    <cfRule type="notContainsBlanks" dxfId="165" priority="25">
      <formula>LEN(TRIM(AD10))&gt;0</formula>
    </cfRule>
  </conditionalFormatting>
  <conditionalFormatting sqref="AD20:AH20">
    <cfRule type="expression" dxfId="164" priority="66">
      <formula>AI17=0</formula>
    </cfRule>
  </conditionalFormatting>
  <conditionalFormatting sqref="AD25:AH25">
    <cfRule type="expression" dxfId="163" priority="52">
      <formula>AI17=0</formula>
    </cfRule>
  </conditionalFormatting>
  <conditionalFormatting sqref="AI20">
    <cfRule type="expression" dxfId="162" priority="65">
      <formula>AI17=0</formula>
    </cfRule>
  </conditionalFormatting>
  <conditionalFormatting sqref="AI22">
    <cfRule type="cellIs" dxfId="161" priority="15" operator="between">
      <formula>47</formula>
      <formula>51</formula>
    </cfRule>
    <cfRule type="notContainsBlanks" dxfId="160" priority="14">
      <formula>LEN(TRIM(AI22))&gt;0</formula>
    </cfRule>
  </conditionalFormatting>
  <conditionalFormatting sqref="AI25">
    <cfRule type="expression" dxfId="159" priority="51">
      <formula>AI17=0</formula>
    </cfRule>
  </conditionalFormatting>
  <conditionalFormatting sqref="AK10:AN16">
    <cfRule type="notContainsBlanks" dxfId="158" priority="24">
      <formula>LEN(TRIM(AK10))&gt;0</formula>
    </cfRule>
  </conditionalFormatting>
  <conditionalFormatting sqref="AK20:AO20">
    <cfRule type="expression" dxfId="157" priority="64">
      <formula>AP17=0</formula>
    </cfRule>
  </conditionalFormatting>
  <conditionalFormatting sqref="AK25:AO25">
    <cfRule type="expression" dxfId="156" priority="50">
      <formula>AP17=0</formula>
    </cfRule>
  </conditionalFormatting>
  <conditionalFormatting sqref="AP20">
    <cfRule type="expression" dxfId="155" priority="63">
      <formula>AP17=0</formula>
    </cfRule>
  </conditionalFormatting>
  <conditionalFormatting sqref="AP22">
    <cfRule type="cellIs" dxfId="154" priority="13" operator="between">
      <formula>47</formula>
      <formula>51</formula>
    </cfRule>
    <cfRule type="notContainsBlanks" dxfId="153" priority="12">
      <formula>LEN(TRIM(AP22))&gt;0</formula>
    </cfRule>
  </conditionalFormatting>
  <conditionalFormatting sqref="AP25">
    <cfRule type="expression" dxfId="152" priority="49">
      <formula>AP17=0</formula>
    </cfRule>
  </conditionalFormatting>
  <conditionalFormatting sqref="AR10:AU16">
    <cfRule type="notContainsBlanks" dxfId="151" priority="23">
      <formula>LEN(TRIM(AR10))&gt;0</formula>
    </cfRule>
  </conditionalFormatting>
  <conditionalFormatting sqref="AR20:AV20">
    <cfRule type="expression" dxfId="150" priority="62">
      <formula>AW17=0</formula>
    </cfRule>
  </conditionalFormatting>
  <conditionalFormatting sqref="AR25:AV25">
    <cfRule type="expression" dxfId="149" priority="48">
      <formula>AW17=0</formula>
    </cfRule>
  </conditionalFormatting>
  <conditionalFormatting sqref="AW20">
    <cfRule type="expression" dxfId="148" priority="61">
      <formula>AW17=0</formula>
    </cfRule>
  </conditionalFormatting>
  <conditionalFormatting sqref="AW22">
    <cfRule type="notContainsBlanks" dxfId="147" priority="10">
      <formula>LEN(TRIM(AW22))&gt;0</formula>
    </cfRule>
    <cfRule type="cellIs" dxfId="146" priority="11" operator="between">
      <formula>47</formula>
      <formula>51</formula>
    </cfRule>
  </conditionalFormatting>
  <conditionalFormatting sqref="AW25">
    <cfRule type="expression" dxfId="145" priority="47">
      <formula>AW17=0</formula>
    </cfRule>
  </conditionalFormatting>
  <conditionalFormatting sqref="AY10:BB16">
    <cfRule type="notContainsBlanks" dxfId="144" priority="22">
      <formula>LEN(TRIM(AY10))&gt;0</formula>
    </cfRule>
  </conditionalFormatting>
  <conditionalFormatting sqref="AY20:BC20">
    <cfRule type="expression" dxfId="143" priority="60">
      <formula>BD17=0</formula>
    </cfRule>
  </conditionalFormatting>
  <conditionalFormatting sqref="AY25:BC25">
    <cfRule type="expression" dxfId="142" priority="46">
      <formula>BD17=0</formula>
    </cfRule>
  </conditionalFormatting>
  <conditionalFormatting sqref="BD20">
    <cfRule type="expression" dxfId="141" priority="59">
      <formula>BD17=0</formula>
    </cfRule>
  </conditionalFormatting>
  <conditionalFormatting sqref="BD22">
    <cfRule type="cellIs" dxfId="140" priority="9" operator="between">
      <formula>47</formula>
      <formula>51</formula>
    </cfRule>
    <cfRule type="notContainsBlanks" dxfId="139" priority="8">
      <formula>LEN(TRIM(BD22))&gt;0</formula>
    </cfRule>
  </conditionalFormatting>
  <conditionalFormatting sqref="BD25">
    <cfRule type="expression" dxfId="138" priority="45">
      <formula>BD17=0</formula>
    </cfRule>
  </conditionalFormatting>
  <dataValidations count="2">
    <dataValidation errorStyle="information" allowBlank="1" showErrorMessage="1" errorTitle="Ne peut ête supérieure à 52 sem" sqref="G32" xr:uid="{00000000-0002-0000-0000-000000000000}"/>
    <dataValidation type="list" allowBlank="1" showInputMessage="1" showErrorMessage="1" sqref="N30" xr:uid="{00000000-0002-0000-0000-000001000000}">
      <formula1>"OUI,NON"</formula1>
    </dataValidation>
  </dataValidations>
  <printOptions horizontalCentered="1"/>
  <pageMargins left="0.25" right="0.25" top="0.75" bottom="0.75" header="0.3" footer="0.3"/>
  <pageSetup paperSize="9" scale="53" orientation="portrait" horizontalDpi="1200" verticalDpi="1200" r:id="rId1"/>
  <headerFooter>
    <oddFooter>Page &amp;P</oddFooter>
  </headerFooter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48"/>
  <sheetViews>
    <sheetView showGridLines="0" zoomScaleNormal="100" workbookViewId="0">
      <selection activeCell="A7" sqref="A7"/>
    </sheetView>
  </sheetViews>
  <sheetFormatPr baseColWidth="10" defaultRowHeight="15" x14ac:dyDescent="0.25"/>
  <cols>
    <col min="1" max="1" width="23.85546875" customWidth="1"/>
    <col min="5" max="5" width="13.7109375" customWidth="1"/>
    <col min="21" max="23" width="11.42578125" customWidth="1"/>
    <col min="24" max="26" width="13.140625" customWidth="1"/>
    <col min="27" max="29" width="11.42578125" customWidth="1"/>
    <col min="30" max="31" width="11.85546875" customWidth="1"/>
    <col min="32" max="32" width="11.42578125" customWidth="1"/>
  </cols>
  <sheetData>
    <row r="1" spans="1:31" x14ac:dyDescent="0.25">
      <c r="C1" s="70"/>
      <c r="V1" s="55"/>
    </row>
    <row r="2" spans="1:31" x14ac:dyDescent="0.25">
      <c r="D2" s="70" t="s">
        <v>104</v>
      </c>
      <c r="E2" s="70"/>
      <c r="F2" s="70"/>
      <c r="G2" s="70"/>
      <c r="H2" s="70"/>
      <c r="I2" s="70"/>
      <c r="J2" s="70"/>
    </row>
    <row r="4" spans="1:31" ht="15.75" x14ac:dyDescent="0.25">
      <c r="B4" s="150" t="s">
        <v>50</v>
      </c>
      <c r="C4" s="150"/>
      <c r="D4" s="150"/>
      <c r="E4" s="150"/>
      <c r="F4" s="150"/>
      <c r="G4" s="150"/>
      <c r="H4" s="150"/>
      <c r="I4" s="150"/>
      <c r="J4" s="150"/>
      <c r="W4" s="57" t="s">
        <v>62</v>
      </c>
      <c r="X4" s="58">
        <f ca="1">+VLOOKUP(Mensualisation!$D$5,base,4,TRUE)</f>
        <v>23903</v>
      </c>
      <c r="Y4" s="58">
        <f ca="1">+VLOOKUP(Mensualisation!$D$5,base,5,TRUE)</f>
        <v>53119</v>
      </c>
      <c r="Z4" s="59"/>
      <c r="AC4" s="1" t="s">
        <v>62</v>
      </c>
      <c r="AD4" s="50">
        <f t="shared" ref="AD4:AE7" ca="1" si="0">+X4*(1+$X$18)</f>
        <v>33464.199999999997</v>
      </c>
      <c r="AE4" s="50">
        <f t="shared" ca="1" si="0"/>
        <v>74366.599999999991</v>
      </c>
    </row>
    <row r="5" spans="1:31" s="71" customFormat="1" ht="15.75" x14ac:dyDescent="0.25">
      <c r="B5" s="72"/>
      <c r="C5" s="73"/>
      <c r="D5" s="73"/>
      <c r="E5" s="73"/>
      <c r="F5" s="73"/>
      <c r="G5" s="73"/>
      <c r="H5" s="73"/>
      <c r="I5" s="73"/>
      <c r="J5" s="73"/>
      <c r="V5" s="74"/>
      <c r="W5" s="75" t="s">
        <v>63</v>
      </c>
      <c r="X5" s="76">
        <f ca="1">+VLOOKUP(Mensualisation!$D$5,base,6,TRUE)</f>
        <v>27295</v>
      </c>
      <c r="Y5" s="76">
        <f ca="1">+VLOOKUP(Mensualisation!$D$5,base,7,TRUE)</f>
        <v>60659</v>
      </c>
      <c r="Z5" s="77"/>
      <c r="AA5" s="78"/>
      <c r="AB5" s="78"/>
      <c r="AC5" s="79" t="s">
        <v>63</v>
      </c>
      <c r="AD5" s="80">
        <f t="shared" ca="1" si="0"/>
        <v>38213</v>
      </c>
      <c r="AE5" s="80">
        <f t="shared" ca="1" si="0"/>
        <v>84922.599999999991</v>
      </c>
    </row>
    <row r="6" spans="1:31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V6" s="55"/>
      <c r="W6" s="57" t="s">
        <v>64</v>
      </c>
      <c r="X6" s="58">
        <f ca="1">+VLOOKUP(Mensualisation!$D$5,base,8,TRUE)</f>
        <v>30687</v>
      </c>
      <c r="Y6" s="58">
        <f ca="1">+VLOOKUP(Mensualisation!$D$5,base,9,TRUE)</f>
        <v>68199</v>
      </c>
      <c r="Z6" s="59"/>
      <c r="AC6" s="1" t="s">
        <v>64</v>
      </c>
      <c r="AD6" s="50">
        <f t="shared" ca="1" si="0"/>
        <v>42961.799999999996</v>
      </c>
      <c r="AE6" s="50">
        <f t="shared" ca="1" si="0"/>
        <v>95478.599999999991</v>
      </c>
    </row>
    <row r="7" spans="1:31" x14ac:dyDescent="0.25">
      <c r="V7" s="55"/>
      <c r="W7" s="57" t="s">
        <v>65</v>
      </c>
      <c r="X7" s="58">
        <f ca="1">+VLOOKUP(Mensualisation!$D$5,base,10,TRUE)</f>
        <v>3392</v>
      </c>
      <c r="Y7" s="58">
        <f ca="1">+VLOOKUP(Mensualisation!$D$5,base,11,TRUE)</f>
        <v>7540</v>
      </c>
      <c r="Z7" s="59"/>
      <c r="AC7" s="1" t="s">
        <v>65</v>
      </c>
      <c r="AD7" s="50">
        <f t="shared" ca="1" si="0"/>
        <v>4748.7999999999993</v>
      </c>
      <c r="AE7" s="50">
        <f t="shared" ca="1" si="0"/>
        <v>10556</v>
      </c>
    </row>
    <row r="8" spans="1:31" x14ac:dyDescent="0.25">
      <c r="D8" s="15" t="s">
        <v>100</v>
      </c>
      <c r="E8" s="20">
        <f>+Mensualisation!G55</f>
        <v>0</v>
      </c>
      <c r="V8" s="55"/>
      <c r="W8" s="57"/>
      <c r="X8" s="58"/>
      <c r="Y8" s="58"/>
      <c r="Z8" s="59"/>
      <c r="AC8" s="1"/>
      <c r="AD8" s="50"/>
      <c r="AE8" s="50"/>
    </row>
    <row r="9" spans="1:31" x14ac:dyDescent="0.25">
      <c r="V9" s="55"/>
      <c r="W9" s="57"/>
      <c r="X9" s="58"/>
      <c r="Y9" s="58"/>
      <c r="Z9" s="59"/>
      <c r="AC9" s="1"/>
      <c r="AD9" s="50"/>
      <c r="AE9" s="50"/>
    </row>
    <row r="10" spans="1:31" x14ac:dyDescent="0.25">
      <c r="D10" s="1" t="s">
        <v>101</v>
      </c>
      <c r="E10" s="21">
        <f>+Mensualisation!G52*(Mensualisation!N38-Mensualisation!G38)</f>
        <v>0</v>
      </c>
      <c r="V10" s="55"/>
      <c r="W10" s="57"/>
      <c r="X10" s="58"/>
      <c r="Y10" s="58"/>
      <c r="Z10" s="59"/>
      <c r="AC10" s="1"/>
      <c r="AD10" s="50"/>
      <c r="AE10" s="50"/>
    </row>
    <row r="11" spans="1:31" x14ac:dyDescent="0.25">
      <c r="V11" s="55"/>
      <c r="W11" s="57"/>
      <c r="X11" s="58"/>
      <c r="Y11" s="58"/>
      <c r="Z11" s="59"/>
      <c r="AC11" s="1"/>
      <c r="AD11" s="50"/>
      <c r="AE11" s="50"/>
    </row>
    <row r="12" spans="1:31" x14ac:dyDescent="0.25">
      <c r="D12" s="15" t="s">
        <v>102</v>
      </c>
      <c r="E12" s="20">
        <f>+E10+E8</f>
        <v>0</v>
      </c>
      <c r="V12" s="55"/>
      <c r="W12" s="57"/>
      <c r="X12" s="58"/>
      <c r="Y12" s="58"/>
      <c r="Z12" s="59"/>
      <c r="AC12" s="1"/>
      <c r="AD12" s="50"/>
      <c r="AE12" s="50"/>
    </row>
    <row r="13" spans="1:31" x14ac:dyDescent="0.25">
      <c r="V13" s="55"/>
      <c r="W13" s="57"/>
      <c r="X13" s="58"/>
      <c r="Y13" s="58"/>
      <c r="Z13" s="59"/>
      <c r="AC13" s="1"/>
      <c r="AD13" s="50"/>
      <c r="AE13" s="50"/>
    </row>
    <row r="14" spans="1:31" x14ac:dyDescent="0.25">
      <c r="D14" s="1" t="s">
        <v>106</v>
      </c>
      <c r="E14" s="21">
        <f ca="1">+E12*Mensualisation!N32</f>
        <v>0</v>
      </c>
      <c r="V14" s="55"/>
      <c r="W14" s="57"/>
      <c r="X14" s="58"/>
      <c r="Y14" s="58"/>
      <c r="Z14" s="59"/>
      <c r="AC14" s="1"/>
      <c r="AD14" s="50"/>
      <c r="AE14" s="50"/>
    </row>
    <row r="15" spans="1:31" x14ac:dyDescent="0.25">
      <c r="V15" s="55"/>
      <c r="W15" s="57"/>
      <c r="X15" s="58"/>
      <c r="Y15" s="58"/>
      <c r="Z15" s="59"/>
      <c r="AC15" s="1"/>
      <c r="AD15" s="50"/>
      <c r="AE15" s="50"/>
    </row>
    <row r="16" spans="1:31" x14ac:dyDescent="0.25">
      <c r="D16" s="111" t="s">
        <v>99</v>
      </c>
      <c r="E16" s="113">
        <v>0</v>
      </c>
      <c r="V16" s="55"/>
      <c r="W16" s="57"/>
      <c r="X16" s="58"/>
      <c r="Y16" s="58"/>
      <c r="Z16" s="59"/>
      <c r="AC16" s="1"/>
      <c r="AD16" s="50"/>
      <c r="AE16" s="50"/>
    </row>
    <row r="17" spans="1:32" x14ac:dyDescent="0.25">
      <c r="V17" s="55"/>
      <c r="W17" s="55"/>
      <c r="X17" s="59"/>
      <c r="Y17" s="59"/>
      <c r="Z17" s="59"/>
    </row>
    <row r="18" spans="1:32" x14ac:dyDescent="0.25">
      <c r="D18" s="22" t="s">
        <v>29</v>
      </c>
      <c r="E18" s="23">
        <f ca="1">+E16+E14</f>
        <v>0</v>
      </c>
      <c r="F18" s="153" t="s">
        <v>49</v>
      </c>
      <c r="G18" s="154"/>
      <c r="H18" s="154"/>
      <c r="I18" s="154"/>
      <c r="J18" s="154"/>
      <c r="K18" s="154"/>
      <c r="V18" s="55"/>
      <c r="W18" s="57" t="s">
        <v>70</v>
      </c>
      <c r="X18" s="60">
        <f ca="1">+VLOOKUP(Mensualisation!$D$5,base,12,TRUE)</f>
        <v>0.4</v>
      </c>
      <c r="Y18" s="59"/>
      <c r="Z18" s="59"/>
    </row>
    <row r="19" spans="1:32" x14ac:dyDescent="0.25">
      <c r="F19" s="43"/>
      <c r="V19" s="55"/>
      <c r="W19" s="55"/>
      <c r="X19" s="59"/>
      <c r="Y19" s="59"/>
      <c r="Z19" s="59"/>
    </row>
    <row r="20" spans="1:32" x14ac:dyDescent="0.25">
      <c r="D20" s="39" t="s">
        <v>42</v>
      </c>
      <c r="E20" s="24">
        <f>+Mensualisation!G49*Mensualisation!N40</f>
        <v>0</v>
      </c>
      <c r="F20" s="42">
        <f ca="1">+E18+E20+E24</f>
        <v>0</v>
      </c>
      <c r="V20" s="55"/>
      <c r="W20" s="56" t="s">
        <v>66</v>
      </c>
      <c r="X20" s="59"/>
      <c r="Y20" s="59"/>
      <c r="Z20" s="59"/>
      <c r="AC20" s="15" t="s">
        <v>66</v>
      </c>
    </row>
    <row r="21" spans="1:32" x14ac:dyDescent="0.25">
      <c r="D21" s="39" t="s">
        <v>55</v>
      </c>
      <c r="E21" s="24">
        <f>+Mensualisation!G49*Mensualisation!N42</f>
        <v>0</v>
      </c>
      <c r="F21" s="25">
        <f ca="1">+E18+E20+E24</f>
        <v>0</v>
      </c>
      <c r="G21" s="26"/>
      <c r="V21" s="55"/>
      <c r="W21" s="57" t="s">
        <v>67</v>
      </c>
      <c r="X21" s="58">
        <f ca="1">+VLOOKUP(Mensualisation!$D$5,base,13,TRUE)</f>
        <v>529.28</v>
      </c>
      <c r="Y21" s="58">
        <f ca="1">+VLOOKUP(Mensualisation!$D$5,base,14,TRUE)</f>
        <v>333.75</v>
      </c>
      <c r="Z21" s="58">
        <f ca="1">+VLOOKUP(Mensualisation!$D$5,base,15,TRUE)</f>
        <v>200.22</v>
      </c>
      <c r="AC21" s="1" t="s">
        <v>67</v>
      </c>
      <c r="AD21" s="49">
        <f ca="1">+X21*(1+$X$24)</f>
        <v>688.06399999999996</v>
      </c>
      <c r="AE21" s="49">
        <f t="shared" ref="AE21:AF22" ca="1" si="1">+Y21*(1+$X$24)</f>
        <v>433.875</v>
      </c>
      <c r="AF21" s="49">
        <f t="shared" ca="1" si="1"/>
        <v>260.286</v>
      </c>
    </row>
    <row r="22" spans="1:32" x14ac:dyDescent="0.25">
      <c r="D22" s="39" t="s">
        <v>54</v>
      </c>
      <c r="E22" s="24">
        <f>+Mensualisation!G49*Mensualisation!N44</f>
        <v>0</v>
      </c>
      <c r="F22" s="25"/>
      <c r="G22" s="26"/>
      <c r="V22" s="55"/>
      <c r="W22" s="57" t="s">
        <v>68</v>
      </c>
      <c r="X22" s="58">
        <f ca="1">+VLOOKUP(Mensualisation!$D$5,base,16,TRUE)</f>
        <v>264.64</v>
      </c>
      <c r="Y22" s="58">
        <f ca="1">+VLOOKUP(Mensualisation!$D$5,base,17,TRUE)</f>
        <v>166.9</v>
      </c>
      <c r="Z22" s="58">
        <f ca="1">+VLOOKUP(Mensualisation!$D$5,base,18,TRUE)</f>
        <v>100.11</v>
      </c>
      <c r="AC22" s="1" t="s">
        <v>68</v>
      </c>
      <c r="AD22" s="49">
        <f ca="1">+X22*(1+$X$24)</f>
        <v>344.03199999999998</v>
      </c>
      <c r="AE22" s="49">
        <f t="shared" ca="1" si="1"/>
        <v>216.97000000000003</v>
      </c>
      <c r="AF22" s="49">
        <f t="shared" ca="1" si="1"/>
        <v>130.143</v>
      </c>
    </row>
    <row r="23" spans="1:32" x14ac:dyDescent="0.25">
      <c r="D23" s="39" t="s">
        <v>48</v>
      </c>
      <c r="E23" s="24">
        <f>+Mensualisation!G49*Mensualisation!N46</f>
        <v>0</v>
      </c>
      <c r="F23" s="25"/>
      <c r="G23" s="26"/>
      <c r="V23" s="55"/>
      <c r="W23" s="55"/>
      <c r="X23" s="59"/>
      <c r="Y23" s="59"/>
      <c r="Z23" s="59"/>
    </row>
    <row r="24" spans="1:32" x14ac:dyDescent="0.25">
      <c r="D24" s="1" t="s">
        <v>30</v>
      </c>
      <c r="E24" s="24">
        <f ca="1">+IF(Mensualisation!G36&lt;52,Mensualisation!G55*0.1*Mensualisation!N32,0)</f>
        <v>0</v>
      </c>
      <c r="V24" s="55"/>
      <c r="W24" s="57" t="s">
        <v>69</v>
      </c>
      <c r="X24" s="60">
        <f ca="1">+VLOOKUP(Mensualisation!$D$5,base,19,TRUE)</f>
        <v>0.3</v>
      </c>
      <c r="Y24" s="59"/>
      <c r="Z24" s="59"/>
    </row>
    <row r="25" spans="1:32" x14ac:dyDescent="0.25">
      <c r="J25" s="1" t="s">
        <v>60</v>
      </c>
      <c r="K25" s="67" t="s">
        <v>61</v>
      </c>
    </row>
    <row r="26" spans="1:32" ht="38.25" customHeight="1" x14ac:dyDescent="0.25">
      <c r="C26" s="40"/>
      <c r="D26" s="41" t="s">
        <v>41</v>
      </c>
      <c r="E26" s="30">
        <f ca="1">SUM(E18:E24)</f>
        <v>0</v>
      </c>
    </row>
    <row r="27" spans="1:32" ht="38.25" customHeight="1" x14ac:dyDescent="0.25"/>
    <row r="28" spans="1:32" ht="15.75" x14ac:dyDescent="0.25">
      <c r="B28" s="150" t="s">
        <v>105</v>
      </c>
      <c r="C28" s="150"/>
      <c r="D28" s="150"/>
      <c r="E28" s="150"/>
      <c r="F28" s="150"/>
      <c r="G28" s="150"/>
      <c r="H28" s="150"/>
      <c r="I28" s="150"/>
      <c r="J28" s="150"/>
      <c r="K28" s="150"/>
    </row>
    <row r="30" spans="1:32" ht="38.25" customHeight="1" x14ac:dyDescent="0.25">
      <c r="A30" s="145" t="s">
        <v>31</v>
      </c>
      <c r="B30" s="145"/>
      <c r="C30" s="145"/>
      <c r="D30" s="145"/>
      <c r="E30" s="146"/>
      <c r="F30" s="146"/>
      <c r="G30" s="146"/>
      <c r="H30" s="146"/>
      <c r="I30" s="27" t="s">
        <v>32</v>
      </c>
      <c r="J30" s="28" t="s">
        <v>33</v>
      </c>
      <c r="K30" s="28" t="s">
        <v>34</v>
      </c>
    </row>
    <row r="31" spans="1:32" ht="38.25" customHeight="1" x14ac:dyDescent="0.25">
      <c r="A31" s="152" t="str">
        <f ca="1">+IF(K25="NON","pour 1 enfant :  "&amp;ROUND(X4,0)&amp;" € *
pour 2 enfants : "&amp;ROUND(X5,0)&amp;" € *
pour 3 enfants : "&amp;ROUND(X6,0)&amp;" € *
Au-delà de 3 enfants : + "&amp;ROUND(X7,0)&amp;" €","pour 1 enfant :  "&amp;ROUND(AD4,0)&amp;" € *
pour 2 enfants : "&amp;ROUND(AD5,0)&amp;" € *
pour 3 enfants : "&amp;ROUND(AD6,0)&amp;" € *
Au-delà de 3 enfants : + "&amp;ROUND(AD7,0)&amp;" €")</f>
        <v>pour 1 enfant :  23903 € *
pour 2 enfants : 27295 € *
pour 3 enfants : 30687 € *
Au-delà de 3 enfants : + 3392 €</v>
      </c>
      <c r="B31" s="152"/>
      <c r="C31" s="152"/>
      <c r="D31" s="152"/>
      <c r="E31" s="148" t="s">
        <v>35</v>
      </c>
      <c r="F31" s="148"/>
      <c r="G31" s="148"/>
      <c r="H31" s="148"/>
      <c r="I31" s="29">
        <f ca="1">+IF(K25="NON",X21,AD21)</f>
        <v>529.28</v>
      </c>
      <c r="J31" s="30">
        <f ca="1">+IF($F$20-I31&gt;$F$20*0.15,$E$26-I31,$F$20*0.15+$E$21+$E$22)</f>
        <v>0</v>
      </c>
      <c r="K31" s="30" t="e">
        <f ca="1">+J31/((Mensualisation!$G$42+Mensualisation!$G$43)/12)</f>
        <v>#DIV/0!</v>
      </c>
    </row>
    <row r="32" spans="1:32" ht="38.25" customHeight="1" x14ac:dyDescent="0.25">
      <c r="A32" s="152"/>
      <c r="B32" s="152"/>
      <c r="C32" s="152"/>
      <c r="D32" s="152"/>
      <c r="E32" s="149" t="s">
        <v>36</v>
      </c>
      <c r="F32" s="149"/>
      <c r="G32" s="149"/>
      <c r="H32" s="149"/>
      <c r="I32" s="31">
        <f ca="1">+IF(K25="NON",X22,AD22)</f>
        <v>264.64</v>
      </c>
      <c r="J32" s="30">
        <f ca="1">+IF($F$20-I32&gt;$F$20*0.15,$E$26-I32,$F$20*0.15+$E$21+$E$22)</f>
        <v>0</v>
      </c>
      <c r="K32" s="30" t="e">
        <f ca="1">+J32/((Mensualisation!G42+Mensualisation!G43)/12)</f>
        <v>#DIV/0!</v>
      </c>
    </row>
    <row r="33" spans="1:11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5" spans="1:11" ht="38.25" customHeight="1" x14ac:dyDescent="0.25">
      <c r="A35" s="145" t="s">
        <v>37</v>
      </c>
      <c r="B35" s="145"/>
      <c r="C35" s="145"/>
      <c r="D35" s="145"/>
      <c r="E35" s="146"/>
      <c r="F35" s="146"/>
      <c r="G35" s="146"/>
      <c r="H35" s="146"/>
      <c r="I35" s="27" t="s">
        <v>32</v>
      </c>
      <c r="J35" s="28" t="s">
        <v>33</v>
      </c>
      <c r="K35" s="28" t="s">
        <v>34</v>
      </c>
    </row>
    <row r="36" spans="1:11" ht="38.25" customHeight="1" x14ac:dyDescent="0.25">
      <c r="A36" s="147" t="str">
        <f ca="1">+IF(K25="NON","pour 1 enfant :  "&amp;ROUND(Y4,0)&amp;" € *
pour 2 enfants : "&amp;ROUND(Y5,0)&amp;" € *
pour 3 enfants : "&amp;ROUND(Y6,0)&amp;" € *
Au-delà de 3 enfants : + "&amp;ROUND(Y7,0)&amp;" €","pour 1 enfant :  "&amp;ROUND(AE4,0)&amp;" € *
pour 2 enfants : "&amp;ROUND(AE5,0)&amp;" € *
pour 3 enfants : "&amp;ROUND(AE6,0)&amp;" € *
Au-delà de 3 enfants : + "&amp;ROUND(AE7,0)&amp;" €")</f>
        <v>pour 1 enfant :  53119 € *
pour 2 enfants : 60659 € *
pour 3 enfants : 68199 € *
Au-delà de 3 enfants : + 7540 €</v>
      </c>
      <c r="B36" s="147"/>
      <c r="C36" s="147"/>
      <c r="D36" s="147"/>
      <c r="E36" s="148" t="s">
        <v>35</v>
      </c>
      <c r="F36" s="148"/>
      <c r="G36" s="148"/>
      <c r="H36" s="148"/>
      <c r="I36" s="29">
        <f ca="1">+IF(K25="NON",Y21,AE21)</f>
        <v>333.75</v>
      </c>
      <c r="J36" s="30">
        <f ca="1">+IF($F$20-I36&gt;$F$20*0.15,$E$26-I36,$F$20*0.15+$E$21+$E$22)</f>
        <v>0</v>
      </c>
      <c r="K36" s="30" t="e">
        <f ca="1">+J36/((Mensualisation!$G$42+Mensualisation!$G$43)/12)</f>
        <v>#DIV/0!</v>
      </c>
    </row>
    <row r="37" spans="1:11" ht="38.25" customHeight="1" x14ac:dyDescent="0.25">
      <c r="A37" s="147"/>
      <c r="B37" s="147"/>
      <c r="C37" s="147"/>
      <c r="D37" s="147"/>
      <c r="E37" s="149" t="s">
        <v>36</v>
      </c>
      <c r="F37" s="149"/>
      <c r="G37" s="149"/>
      <c r="H37" s="149"/>
      <c r="I37" s="29">
        <f ca="1">+IF(K25="NON",Y22,AE22)</f>
        <v>166.9</v>
      </c>
      <c r="J37" s="30">
        <f ca="1">+IF($F$20-I37&gt;$F$20*0.15,$E$26-I37,$F$20*0.15+$E$21+$E$22)</f>
        <v>0</v>
      </c>
      <c r="K37" s="30" t="e">
        <f ca="1">+J37/((Mensualisation!$G$42+Mensualisation!$G$43)/12)</f>
        <v>#DIV/0!</v>
      </c>
    </row>
    <row r="38" spans="1:11" ht="17.25" customHeight="1" x14ac:dyDescent="0.25"/>
    <row r="40" spans="1:11" ht="38.25" x14ac:dyDescent="0.25">
      <c r="A40" s="145" t="s">
        <v>38</v>
      </c>
      <c r="B40" s="145"/>
      <c r="C40" s="145"/>
      <c r="D40" s="145"/>
      <c r="E40" s="146"/>
      <c r="F40" s="146"/>
      <c r="G40" s="146"/>
      <c r="H40" s="146"/>
      <c r="I40" s="27" t="s">
        <v>32</v>
      </c>
      <c r="J40" s="28" t="s">
        <v>33</v>
      </c>
      <c r="K40" s="28" t="s">
        <v>34</v>
      </c>
    </row>
    <row r="41" spans="1:11" ht="30.75" customHeight="1" x14ac:dyDescent="0.25">
      <c r="A41" s="147" t="str">
        <f ca="1">+A36</f>
        <v>pour 1 enfant :  53119 € *
pour 2 enfants : 60659 € *
pour 3 enfants : 68199 € *
Au-delà de 3 enfants : + 7540 €</v>
      </c>
      <c r="B41" s="147"/>
      <c r="C41" s="147"/>
      <c r="D41" s="147"/>
      <c r="E41" s="148" t="s">
        <v>35</v>
      </c>
      <c r="F41" s="148"/>
      <c r="G41" s="148"/>
      <c r="H41" s="148"/>
      <c r="I41" s="29">
        <f ca="1">+IF(K25="NON",Z21,AF21)</f>
        <v>200.22</v>
      </c>
      <c r="J41" s="30">
        <f ca="1">+IF($F$20-I41&gt;$F$20*0.15,$E$26-I41,$F$20*0.15+$E$21+$E$22)</f>
        <v>0</v>
      </c>
      <c r="K41" s="30" t="e">
        <f ca="1">+J41/((Mensualisation!$G$42+Mensualisation!$G$43)/12)</f>
        <v>#DIV/0!</v>
      </c>
    </row>
    <row r="42" spans="1:11" ht="36" customHeight="1" x14ac:dyDescent="0.25">
      <c r="A42" s="147"/>
      <c r="B42" s="147"/>
      <c r="C42" s="147"/>
      <c r="D42" s="147"/>
      <c r="E42" s="149" t="s">
        <v>36</v>
      </c>
      <c r="F42" s="149"/>
      <c r="G42" s="149"/>
      <c r="H42" s="149"/>
      <c r="I42" s="33">
        <f ca="1">+IF(K25="NON",Z22,AF22)</f>
        <v>100.11</v>
      </c>
      <c r="J42" s="30">
        <f ca="1">+IF($F$20-I42&gt;$F$20*0.15,$E$26-I42,$F$20*0.15+$E$21+$E$22)</f>
        <v>0</v>
      </c>
      <c r="K42" s="30" t="e">
        <f ca="1">+J42/((Mensualisation!$G$42+Mensualisation!$G$43)/12)</f>
        <v>#DIV/0!</v>
      </c>
    </row>
    <row r="43" spans="1:11" ht="75" customHeight="1" x14ac:dyDescent="0.25">
      <c r="A43" s="34"/>
      <c r="B43" s="144" t="s">
        <v>71</v>
      </c>
      <c r="C43" s="144"/>
      <c r="D43" s="144"/>
      <c r="E43" s="144"/>
      <c r="F43" s="144"/>
      <c r="G43" s="144"/>
      <c r="H43" s="144"/>
      <c r="I43" s="144"/>
      <c r="J43" s="144"/>
    </row>
    <row r="44" spans="1:11" x14ac:dyDescent="0.25">
      <c r="B44" s="48"/>
      <c r="C44" s="48"/>
      <c r="D44" s="48"/>
      <c r="E44" s="48"/>
      <c r="F44" s="48"/>
      <c r="G44" s="48"/>
      <c r="H44" s="48"/>
      <c r="I44" s="48"/>
    </row>
    <row r="45" spans="1:11" x14ac:dyDescent="0.25">
      <c r="A45" s="44"/>
      <c r="B45" s="45"/>
      <c r="C45" s="46" t="s">
        <v>43</v>
      </c>
      <c r="D45" s="46"/>
      <c r="E45" s="46"/>
      <c r="F45" s="46"/>
      <c r="G45" s="46"/>
      <c r="H45" s="46"/>
      <c r="I45" s="46"/>
      <c r="J45" s="46"/>
      <c r="K45" s="45"/>
    </row>
    <row r="46" spans="1:11" x14ac:dyDescent="0.25">
      <c r="A46" s="35"/>
      <c r="B46" s="47" t="s">
        <v>103</v>
      </c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5">
      <c r="A47" s="44"/>
      <c r="B47" s="45"/>
      <c r="C47" s="47" t="s">
        <v>44</v>
      </c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B48" s="46" t="s">
        <v>45</v>
      </c>
      <c r="C48" s="46"/>
      <c r="D48" s="46"/>
      <c r="E48" s="46"/>
      <c r="F48" s="46"/>
      <c r="G48" s="46"/>
      <c r="H48" s="46"/>
      <c r="I48" s="46"/>
      <c r="J48" s="46"/>
      <c r="K48" s="46"/>
    </row>
  </sheetData>
  <sheetProtection algorithmName="SHA-512" hashValue="UAiJ/JeKV/nd3y41g8UZitefnoyXuNRi0ah1whi63f3UwdftZIj4A0Uy0XDDEWb3srF0P4BnzZWlrk8ParnoUg==" saltValue="+aZR2Il4txBMAI4kdFNi6A==" spinCount="100000" sheet="1" objects="1" scenarios="1" formatCells="0" formatColumns="0" formatRows="0" insertColumns="0" insertRows="0" insertHyperlinks="0" sort="0" autoFilter="0" pivotTables="0"/>
  <mergeCells count="20">
    <mergeCell ref="B4:J4"/>
    <mergeCell ref="A6:L6"/>
    <mergeCell ref="B28:K28"/>
    <mergeCell ref="A41:D42"/>
    <mergeCell ref="E41:H41"/>
    <mergeCell ref="E42:H42"/>
    <mergeCell ref="A30:D30"/>
    <mergeCell ref="E30:H30"/>
    <mergeCell ref="A31:D32"/>
    <mergeCell ref="E31:H31"/>
    <mergeCell ref="E32:H32"/>
    <mergeCell ref="F18:K18"/>
    <mergeCell ref="B43:J43"/>
    <mergeCell ref="A35:D35"/>
    <mergeCell ref="E35:H35"/>
    <mergeCell ref="A36:D37"/>
    <mergeCell ref="E36:H36"/>
    <mergeCell ref="E37:H37"/>
    <mergeCell ref="A40:D40"/>
    <mergeCell ref="E40:H40"/>
  </mergeCells>
  <dataValidations count="1">
    <dataValidation type="list" allowBlank="1" showInputMessage="1" showErrorMessage="1" sqref="K25" xr:uid="{00000000-0002-0000-0100-000000000000}">
      <formula1>"NON,OUI"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9CD0-B858-4C63-878E-22CFE4E24FAE}">
  <sheetPr>
    <tabColor theme="2" tint="-0.749992370372631"/>
  </sheetPr>
  <dimension ref="A1:BD55"/>
  <sheetViews>
    <sheetView showGridLines="0" zoomScale="80" zoomScaleNormal="80" workbookViewId="0">
      <selection activeCell="G52" sqref="G52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55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56"/>
      <c r="E3" s="156"/>
      <c r="F3" s="156"/>
      <c r="I3" s="57"/>
    </row>
    <row r="5" spans="1:56" ht="18.75" x14ac:dyDescent="0.3">
      <c r="A5" s="81" t="s">
        <v>24</v>
      </c>
      <c r="C5" s="82" t="s">
        <v>91</v>
      </c>
      <c r="D5" s="61">
        <f ca="1">+IF(D6="",NOW(),D6)</f>
        <v>45684.618809259257</v>
      </c>
      <c r="E5" s="83"/>
      <c r="F5" s="83"/>
    </row>
    <row r="6" spans="1:56" ht="18.75" x14ac:dyDescent="0.3">
      <c r="A6" s="81"/>
      <c r="C6" s="57" t="s">
        <v>92</v>
      </c>
      <c r="D6" s="84"/>
      <c r="E6" s="83"/>
      <c r="F6" s="83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60" t="s">
        <v>12</v>
      </c>
      <c r="I8" s="161"/>
      <c r="J8" s="161"/>
      <c r="K8" s="161"/>
      <c r="L8" s="161"/>
      <c r="M8" s="161"/>
      <c r="N8" s="162"/>
      <c r="O8" s="163" t="s">
        <v>13</v>
      </c>
      <c r="P8" s="164"/>
      <c r="Q8" s="164"/>
      <c r="R8" s="164"/>
      <c r="S8" s="164"/>
      <c r="T8" s="164"/>
      <c r="U8" s="165"/>
      <c r="V8" s="166" t="s">
        <v>14</v>
      </c>
      <c r="W8" s="167"/>
      <c r="X8" s="167"/>
      <c r="Y8" s="167"/>
      <c r="Z8" s="167"/>
      <c r="AA8" s="167"/>
      <c r="AB8" s="168"/>
      <c r="AC8" s="169" t="s">
        <v>15</v>
      </c>
      <c r="AD8" s="170"/>
      <c r="AE8" s="170"/>
      <c r="AF8" s="170"/>
      <c r="AG8" s="170"/>
      <c r="AH8" s="170"/>
      <c r="AI8" s="171"/>
      <c r="AJ8" s="172" t="s">
        <v>16</v>
      </c>
      <c r="AK8" s="173"/>
      <c r="AL8" s="173"/>
      <c r="AM8" s="173"/>
      <c r="AN8" s="173"/>
      <c r="AO8" s="173"/>
      <c r="AP8" s="174"/>
      <c r="AQ8" s="175" t="s">
        <v>17</v>
      </c>
      <c r="AR8" s="176"/>
      <c r="AS8" s="176"/>
      <c r="AT8" s="176"/>
      <c r="AU8" s="176"/>
      <c r="AV8" s="176"/>
      <c r="AW8" s="177"/>
      <c r="AX8" s="178" t="s">
        <v>18</v>
      </c>
      <c r="AY8" s="179"/>
      <c r="AZ8" s="179"/>
      <c r="BA8" s="179"/>
      <c r="BB8" s="179"/>
      <c r="BC8" s="179"/>
      <c r="BD8" s="180"/>
    </row>
    <row r="9" spans="1:56" ht="30" x14ac:dyDescent="0.25">
      <c r="A9" s="85" t="s">
        <v>0</v>
      </c>
      <c r="B9" s="85" t="s">
        <v>56</v>
      </c>
      <c r="C9" s="85" t="s">
        <v>57</v>
      </c>
      <c r="D9" s="85" t="s">
        <v>58</v>
      </c>
      <c r="E9" s="85" t="s">
        <v>59</v>
      </c>
      <c r="F9" s="85" t="s">
        <v>2</v>
      </c>
      <c r="G9" s="85" t="s">
        <v>3</v>
      </c>
      <c r="H9" s="85" t="s">
        <v>0</v>
      </c>
      <c r="I9" s="85" t="s">
        <v>56</v>
      </c>
      <c r="J9" s="85" t="s">
        <v>57</v>
      </c>
      <c r="K9" s="85" t="s">
        <v>58</v>
      </c>
      <c r="L9" s="85" t="s">
        <v>59</v>
      </c>
      <c r="M9" s="85" t="s">
        <v>2</v>
      </c>
      <c r="N9" s="85" t="s">
        <v>3</v>
      </c>
      <c r="O9" s="85" t="s">
        <v>0</v>
      </c>
      <c r="P9" s="85" t="s">
        <v>56</v>
      </c>
      <c r="Q9" s="85" t="s">
        <v>57</v>
      </c>
      <c r="R9" s="85" t="s">
        <v>58</v>
      </c>
      <c r="S9" s="85" t="s">
        <v>59</v>
      </c>
      <c r="T9" s="85" t="s">
        <v>2</v>
      </c>
      <c r="U9" s="85" t="s">
        <v>3</v>
      </c>
      <c r="V9" s="85" t="s">
        <v>0</v>
      </c>
      <c r="W9" s="85" t="s">
        <v>56</v>
      </c>
      <c r="X9" s="85" t="s">
        <v>57</v>
      </c>
      <c r="Y9" s="85" t="s">
        <v>58</v>
      </c>
      <c r="Z9" s="85" t="s">
        <v>59</v>
      </c>
      <c r="AA9" s="85" t="s">
        <v>2</v>
      </c>
      <c r="AB9" s="85" t="s">
        <v>3</v>
      </c>
      <c r="AC9" s="85" t="s">
        <v>0</v>
      </c>
      <c r="AD9" s="85" t="s">
        <v>56</v>
      </c>
      <c r="AE9" s="85" t="s">
        <v>57</v>
      </c>
      <c r="AF9" s="85" t="s">
        <v>58</v>
      </c>
      <c r="AG9" s="85" t="s">
        <v>59</v>
      </c>
      <c r="AH9" s="85" t="s">
        <v>2</v>
      </c>
      <c r="AI9" s="85" t="s">
        <v>3</v>
      </c>
      <c r="AJ9" s="85" t="s">
        <v>0</v>
      </c>
      <c r="AK9" s="85" t="s">
        <v>56</v>
      </c>
      <c r="AL9" s="85" t="s">
        <v>57</v>
      </c>
      <c r="AM9" s="85" t="s">
        <v>58</v>
      </c>
      <c r="AN9" s="85" t="s">
        <v>59</v>
      </c>
      <c r="AO9" s="85" t="s">
        <v>2</v>
      </c>
      <c r="AP9" s="85" t="s">
        <v>3</v>
      </c>
      <c r="AQ9" s="85" t="s">
        <v>0</v>
      </c>
      <c r="AR9" s="85" t="s">
        <v>56</v>
      </c>
      <c r="AS9" s="85" t="s">
        <v>57</v>
      </c>
      <c r="AT9" s="85" t="s">
        <v>58</v>
      </c>
      <c r="AU9" s="85" t="s">
        <v>59</v>
      </c>
      <c r="AV9" s="85" t="s">
        <v>2</v>
      </c>
      <c r="AW9" s="85" t="s">
        <v>3</v>
      </c>
      <c r="AX9" s="85" t="s">
        <v>0</v>
      </c>
      <c r="AY9" s="85" t="s">
        <v>56</v>
      </c>
      <c r="AZ9" s="85" t="s">
        <v>57</v>
      </c>
      <c r="BA9" s="85" t="s">
        <v>58</v>
      </c>
      <c r="BB9" s="85" t="s">
        <v>59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>
        <v>0.33333333333333331</v>
      </c>
      <c r="J10" s="87">
        <v>0.66666666666666663</v>
      </c>
      <c r="K10" s="87"/>
      <c r="L10" s="87"/>
      <c r="M10" s="88">
        <f>+J10-I10+L10-K10</f>
        <v>0.33333333333333331</v>
      </c>
      <c r="N10" s="89">
        <f>ROUND(+M10*24,2)</f>
        <v>8</v>
      </c>
      <c r="O10" s="86" t="s">
        <v>4</v>
      </c>
      <c r="P10" s="87">
        <v>0.4375</v>
      </c>
      <c r="Q10" s="87">
        <v>0.69791666666666663</v>
      </c>
      <c r="R10" s="87"/>
      <c r="S10" s="87"/>
      <c r="T10" s="88">
        <f>+Q10-P10+S10-R10</f>
        <v>0.26041666666666663</v>
      </c>
      <c r="U10" s="89">
        <f>ROUND(+T10*24,2)</f>
        <v>6.25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>
        <v>0.33333333333333331</v>
      </c>
      <c r="J11" s="87">
        <v>0.66666666666666663</v>
      </c>
      <c r="K11" s="87"/>
      <c r="L11" s="87"/>
      <c r="M11" s="88">
        <f t="shared" ref="M11:M16" si="2">+J11-I11+L11-K11</f>
        <v>0.33333333333333331</v>
      </c>
      <c r="N11" s="89">
        <f t="shared" ref="N11:N16" si="3">ROUND(+M11*24,2)</f>
        <v>8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>
        <v>0.33333333333333331</v>
      </c>
      <c r="J12" s="87">
        <v>0.66666666666666663</v>
      </c>
      <c r="K12" s="87"/>
      <c r="L12" s="87"/>
      <c r="M12" s="88">
        <f t="shared" si="2"/>
        <v>0.33333333333333331</v>
      </c>
      <c r="N12" s="89">
        <f t="shared" si="3"/>
        <v>8</v>
      </c>
      <c r="O12" s="86" t="s">
        <v>6</v>
      </c>
      <c r="P12" s="87">
        <v>0.4375</v>
      </c>
      <c r="Q12" s="87">
        <v>0.79166666666666663</v>
      </c>
      <c r="R12" s="87"/>
      <c r="S12" s="87"/>
      <c r="T12" s="88">
        <f t="shared" si="4"/>
        <v>0.35416666666666663</v>
      </c>
      <c r="U12" s="89">
        <f t="shared" si="5"/>
        <v>8.5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>
        <v>0.33333333333333331</v>
      </c>
      <c r="J13" s="87">
        <v>0.66666666666666663</v>
      </c>
      <c r="K13" s="87"/>
      <c r="L13" s="87"/>
      <c r="M13" s="88">
        <f t="shared" si="2"/>
        <v>0.33333333333333331</v>
      </c>
      <c r="N13" s="89">
        <f t="shared" si="3"/>
        <v>8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>
        <v>0.33333333333333331</v>
      </c>
      <c r="J14" s="87">
        <v>0.45833333333333331</v>
      </c>
      <c r="K14" s="87">
        <v>0.66666666666666663</v>
      </c>
      <c r="L14" s="87">
        <v>0.75</v>
      </c>
      <c r="M14" s="88">
        <f t="shared" si="2"/>
        <v>0.20833333333333337</v>
      </c>
      <c r="N14" s="89">
        <f t="shared" si="3"/>
        <v>5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46</v>
      </c>
      <c r="G17" s="89">
        <f>SUM(G10:G16)</f>
        <v>52.5</v>
      </c>
      <c r="I17" s="90"/>
      <c r="J17" s="90"/>
      <c r="K17" s="90"/>
      <c r="L17" s="90"/>
      <c r="M17" s="86" t="s">
        <v>46</v>
      </c>
      <c r="N17" s="89">
        <f>SUM(N10:N16)</f>
        <v>37</v>
      </c>
      <c r="P17" s="90"/>
      <c r="Q17" s="90"/>
      <c r="R17" s="90"/>
      <c r="S17" s="90"/>
      <c r="T17" s="86" t="s">
        <v>46</v>
      </c>
      <c r="U17" s="89">
        <f>SUM(U10:U16)</f>
        <v>14.75</v>
      </c>
      <c r="W17" s="90"/>
      <c r="X17" s="90"/>
      <c r="Y17" s="90"/>
      <c r="Z17" s="90"/>
      <c r="AA17" s="86" t="s">
        <v>46</v>
      </c>
      <c r="AB17" s="89">
        <f>SUM(AB10:AB16)</f>
        <v>0</v>
      </c>
      <c r="AD17" s="90"/>
      <c r="AE17" s="90"/>
      <c r="AF17" s="90"/>
      <c r="AG17" s="90"/>
      <c r="AH17" s="86" t="s">
        <v>46</v>
      </c>
      <c r="AI17" s="89">
        <f>SUM(AI10:AI16)</f>
        <v>0</v>
      </c>
      <c r="AK17" s="90"/>
      <c r="AL17" s="90"/>
      <c r="AM17" s="90"/>
      <c r="AN17" s="90"/>
      <c r="AO17" s="86" t="s">
        <v>46</v>
      </c>
      <c r="AP17" s="89">
        <f>SUM(AP10:AP16)</f>
        <v>0</v>
      </c>
      <c r="AR17" s="90"/>
      <c r="AS17" s="90"/>
      <c r="AT17" s="90"/>
      <c r="AU17" s="90"/>
      <c r="AV17" s="86" t="s">
        <v>46</v>
      </c>
      <c r="AW17" s="89">
        <f>SUM(AW10:AW16)</f>
        <v>0</v>
      </c>
      <c r="AY17" s="90"/>
      <c r="AZ17" s="90"/>
      <c r="BA17" s="90"/>
      <c r="BB17" s="90"/>
      <c r="BC17" s="86" t="s">
        <v>46</v>
      </c>
      <c r="BD17" s="89">
        <f>SUM(BD10:BD16)</f>
        <v>0</v>
      </c>
    </row>
    <row r="19" spans="1:56" x14ac:dyDescent="0.25">
      <c r="B19" s="181" t="str">
        <f>+IF(K17=0,"Nombre d'heures :","Nombre d'heures (Inf. ou égales à 45 hrs / sem) :")</f>
        <v>Nombre d'heures :</v>
      </c>
      <c r="C19" s="182"/>
      <c r="D19" s="182"/>
      <c r="E19" s="182"/>
      <c r="F19" s="183"/>
      <c r="G19" s="91">
        <f>+IF(G17&gt;=45,45,G17)</f>
        <v>45</v>
      </c>
      <c r="I19" s="181" t="str">
        <f>+IF(R17=0,"Nombre d'heures :","Nombre d'heures (Inf. ou égales à 45 hrs / sem) :")</f>
        <v>Nombre d'heures :</v>
      </c>
      <c r="J19" s="182"/>
      <c r="K19" s="182"/>
      <c r="L19" s="182"/>
      <c r="M19" s="183"/>
      <c r="N19" s="91">
        <f>+IF(N17&gt;=45,45,N17)</f>
        <v>37</v>
      </c>
      <c r="P19" s="181" t="str">
        <f>+IF(Y17=0,"Nombre d'heures :","Nombre d'heures (Inf. ou égales à 45 hrs / sem) :")</f>
        <v>Nombre d'heures :</v>
      </c>
      <c r="Q19" s="182"/>
      <c r="R19" s="182"/>
      <c r="S19" s="182"/>
      <c r="T19" s="183"/>
      <c r="U19" s="91">
        <f>+IF(U17&gt;=45,45,U17)</f>
        <v>14.75</v>
      </c>
      <c r="W19" s="181" t="str">
        <f>+IF(AF17=0,"Nombre d'heures :","Nombre d'heures (Inf. ou égales à 45 hrs / sem) :")</f>
        <v>Nombre d'heures :</v>
      </c>
      <c r="X19" s="182"/>
      <c r="Y19" s="182"/>
      <c r="Z19" s="182"/>
      <c r="AA19" s="183"/>
      <c r="AB19" s="91">
        <f>+IF(AB17&gt;=45,45,AB17)</f>
        <v>0</v>
      </c>
      <c r="AD19" s="181" t="str">
        <f>+IF(AM17=0,"Nombre d'heures :","Nombre d'heures (Inf. ou égales à 45 hrs / sem) :")</f>
        <v>Nombre d'heures :</v>
      </c>
      <c r="AE19" s="182"/>
      <c r="AF19" s="182"/>
      <c r="AG19" s="182"/>
      <c r="AH19" s="183"/>
      <c r="AI19" s="91">
        <f>+IF(AI17&gt;=45,45,AI17)</f>
        <v>0</v>
      </c>
      <c r="AK19" s="181" t="str">
        <f>+IF(AT17=0,"Nombre d'heures :","Nombre d'heures (Inf. ou égales à 45 hrs / sem) :")</f>
        <v>Nombre d'heures :</v>
      </c>
      <c r="AL19" s="182"/>
      <c r="AM19" s="182"/>
      <c r="AN19" s="182"/>
      <c r="AO19" s="183"/>
      <c r="AP19" s="91">
        <f>+IF(AP17&gt;=45,45,AP17)</f>
        <v>0</v>
      </c>
      <c r="AR19" s="181" t="str">
        <f>+IF(BA17=0,"Nombre d'heures :","Nombre d'heures (Inf. ou égales à 45 hrs / sem) :")</f>
        <v>Nombre d'heures :</v>
      </c>
      <c r="AS19" s="182"/>
      <c r="AT19" s="182"/>
      <c r="AU19" s="182"/>
      <c r="AV19" s="183"/>
      <c r="AW19" s="91">
        <f>+IF(AW17&gt;=45,45,AW17)</f>
        <v>0</v>
      </c>
      <c r="AY19" s="181" t="str">
        <f>+IF(BH17=0,"Nombre d'heures :","Nombre d'heures (Inf. ou égales à 45 hrs / sem) :")</f>
        <v>Nombre d'heures :</v>
      </c>
      <c r="AZ19" s="182"/>
      <c r="BA19" s="182"/>
      <c r="BB19" s="182"/>
      <c r="BC19" s="183"/>
      <c r="BD19" s="91">
        <f>+IF(BD17&gt;=45,45,BD17)</f>
        <v>0</v>
      </c>
    </row>
    <row r="20" spans="1:56" x14ac:dyDescent="0.25">
      <c r="B20" s="181" t="s">
        <v>93</v>
      </c>
      <c r="C20" s="182"/>
      <c r="D20" s="182"/>
      <c r="E20" s="182"/>
      <c r="F20" s="183"/>
      <c r="G20" s="91">
        <f>+IF(G17&gt;45,G17-45,0)</f>
        <v>7.5</v>
      </c>
      <c r="I20" s="181" t="s">
        <v>93</v>
      </c>
      <c r="J20" s="182"/>
      <c r="K20" s="182"/>
      <c r="L20" s="182"/>
      <c r="M20" s="183"/>
      <c r="N20" s="91">
        <f>+IF(N17&gt;45,N17-45,0)</f>
        <v>0</v>
      </c>
      <c r="P20" s="181" t="s">
        <v>93</v>
      </c>
      <c r="Q20" s="182"/>
      <c r="R20" s="182"/>
      <c r="S20" s="182"/>
      <c r="T20" s="183"/>
      <c r="U20" s="91">
        <f>+IF(U17&gt;45,U17-45,0)</f>
        <v>0</v>
      </c>
      <c r="W20" s="181" t="s">
        <v>93</v>
      </c>
      <c r="X20" s="182"/>
      <c r="Y20" s="182"/>
      <c r="Z20" s="182"/>
      <c r="AA20" s="183"/>
      <c r="AB20" s="91">
        <f>+IF(AB17&gt;45,AB17-45,0)</f>
        <v>0</v>
      </c>
      <c r="AD20" s="181" t="s">
        <v>93</v>
      </c>
      <c r="AE20" s="182"/>
      <c r="AF20" s="182"/>
      <c r="AG20" s="182"/>
      <c r="AH20" s="183"/>
      <c r="AI20" s="91">
        <f>+IF(AI17&gt;45,AI17-45,0)</f>
        <v>0</v>
      </c>
      <c r="AK20" s="181" t="s">
        <v>93</v>
      </c>
      <c r="AL20" s="182"/>
      <c r="AM20" s="182"/>
      <c r="AN20" s="182"/>
      <c r="AO20" s="183"/>
      <c r="AP20" s="91">
        <f>+IF(AP17&gt;45,AP17-45,0)</f>
        <v>0</v>
      </c>
      <c r="AR20" s="181" t="s">
        <v>93</v>
      </c>
      <c r="AS20" s="182"/>
      <c r="AT20" s="182"/>
      <c r="AU20" s="182"/>
      <c r="AV20" s="183"/>
      <c r="AW20" s="91">
        <f>+IF(AW17&gt;45,AW17-45,0)</f>
        <v>0</v>
      </c>
      <c r="AY20" s="181" t="s">
        <v>93</v>
      </c>
      <c r="AZ20" s="182"/>
      <c r="BA20" s="182"/>
      <c r="BB20" s="182"/>
      <c r="BC20" s="183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20</v>
      </c>
      <c r="I22" s="92"/>
      <c r="J22" s="93"/>
      <c r="K22" s="93"/>
      <c r="L22" s="93"/>
      <c r="M22" s="69" t="s">
        <v>11</v>
      </c>
      <c r="N22" s="94">
        <v>12</v>
      </c>
      <c r="P22" s="92"/>
      <c r="Q22" s="93"/>
      <c r="R22" s="93"/>
      <c r="S22" s="93"/>
      <c r="T22" s="69" t="s">
        <v>11</v>
      </c>
      <c r="U22" s="94">
        <v>8</v>
      </c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95</v>
      </c>
    </row>
    <row r="24" spans="1:56" x14ac:dyDescent="0.25">
      <c r="B24" s="181" t="str">
        <f>+IF(K22=0,"Total annuel heures :","Total annuel heures (Inf. ou égales à 45 hrs / sem) :")</f>
        <v>Total annuel heures :</v>
      </c>
      <c r="C24" s="182"/>
      <c r="D24" s="182"/>
      <c r="E24" s="182"/>
      <c r="F24" s="183"/>
      <c r="G24" s="91">
        <f>+G19*G22</f>
        <v>900</v>
      </c>
      <c r="I24" s="181" t="str">
        <f>+IF(R22=0,"Total annuel heures :","Total annuel heures (Inf. ou égales à 45 hrs / sem) :")</f>
        <v>Total annuel heures :</v>
      </c>
      <c r="J24" s="182"/>
      <c r="K24" s="182"/>
      <c r="L24" s="182"/>
      <c r="M24" s="183"/>
      <c r="N24" s="91">
        <f>+N19*N22</f>
        <v>444</v>
      </c>
      <c r="P24" s="181" t="str">
        <f>+IF(Y22=0,"Total annuel heures :","Total annuel heures (Inf. ou égales à 45 hrs / sem) :")</f>
        <v>Total annuel heures :</v>
      </c>
      <c r="Q24" s="182"/>
      <c r="R24" s="182"/>
      <c r="S24" s="182"/>
      <c r="T24" s="183"/>
      <c r="U24" s="91">
        <f>+U19*U22</f>
        <v>118</v>
      </c>
      <c r="W24" s="181" t="str">
        <f>+IF(AF22=0,"Total annuel heures :","Total annuel heures (Inf. ou égales à 45 hrs / sem) :")</f>
        <v>Total annuel heures :</v>
      </c>
      <c r="X24" s="182"/>
      <c r="Y24" s="182"/>
      <c r="Z24" s="182"/>
      <c r="AA24" s="183"/>
      <c r="AB24" s="91">
        <f>+AB19*AB22</f>
        <v>0</v>
      </c>
      <c r="AD24" s="181" t="str">
        <f>+IF(AM22=0,"Total annuel heures :","Total annuel heures (Inf. ou égales à 45 hrs / sem) :")</f>
        <v>Total annuel heures :</v>
      </c>
      <c r="AE24" s="182"/>
      <c r="AF24" s="182"/>
      <c r="AG24" s="182"/>
      <c r="AH24" s="183"/>
      <c r="AI24" s="91">
        <f>+AI19*AI22</f>
        <v>0</v>
      </c>
      <c r="AK24" s="181" t="str">
        <f>+IF(AT22=0,"Total annuel heures :","Total annuel heures (Inf. ou égales à 45 hrs / sem) :")</f>
        <v>Total annuel heures :</v>
      </c>
      <c r="AL24" s="182"/>
      <c r="AM24" s="182"/>
      <c r="AN24" s="182"/>
      <c r="AO24" s="183"/>
      <c r="AP24" s="91">
        <f>+AP19*AP22</f>
        <v>0</v>
      </c>
      <c r="AR24" s="181" t="str">
        <f>+IF(BA22=0,"Total annuel heures :","Total annuel heures (Inf. ou égales à 45 hrs / sem) :")</f>
        <v>Total annuel heures :</v>
      </c>
      <c r="AS24" s="182"/>
      <c r="AT24" s="182"/>
      <c r="AU24" s="182"/>
      <c r="AV24" s="183"/>
      <c r="AW24" s="91">
        <f>+AW19*AW22</f>
        <v>0</v>
      </c>
      <c r="AY24" s="181" t="str">
        <f>+IF(BH22=0,"Total annuel heures :","Total annuel heures (Inf. ou égales à 45 hrs / sem) :")</f>
        <v>Total annuel heures :</v>
      </c>
      <c r="AZ24" s="182"/>
      <c r="BA24" s="182"/>
      <c r="BB24" s="182"/>
      <c r="BC24" s="183"/>
      <c r="BD24" s="91">
        <f>+BD19*BD22</f>
        <v>0</v>
      </c>
    </row>
    <row r="25" spans="1:56" x14ac:dyDescent="0.25">
      <c r="B25" s="181" t="s">
        <v>94</v>
      </c>
      <c r="C25" s="182"/>
      <c r="D25" s="182"/>
      <c r="E25" s="182"/>
      <c r="F25" s="183"/>
      <c r="G25" s="91">
        <f>+G20*G22</f>
        <v>150</v>
      </c>
      <c r="I25" s="181" t="s">
        <v>94</v>
      </c>
      <c r="J25" s="182"/>
      <c r="K25" s="182"/>
      <c r="L25" s="182"/>
      <c r="M25" s="183"/>
      <c r="N25" s="91">
        <f>+N20*N22</f>
        <v>0</v>
      </c>
      <c r="P25" s="181" t="s">
        <v>94</v>
      </c>
      <c r="Q25" s="182"/>
      <c r="R25" s="182"/>
      <c r="S25" s="182"/>
      <c r="T25" s="183"/>
      <c r="U25" s="91">
        <f>+U20*U22</f>
        <v>0</v>
      </c>
      <c r="W25" s="181" t="s">
        <v>94</v>
      </c>
      <c r="X25" s="182"/>
      <c r="Y25" s="182"/>
      <c r="Z25" s="182"/>
      <c r="AA25" s="183"/>
      <c r="AB25" s="91">
        <f>+AB20*AB22</f>
        <v>0</v>
      </c>
      <c r="AD25" s="181" t="s">
        <v>94</v>
      </c>
      <c r="AE25" s="182"/>
      <c r="AF25" s="182"/>
      <c r="AG25" s="182"/>
      <c r="AH25" s="183"/>
      <c r="AI25" s="91">
        <f>+AI20*AI22</f>
        <v>0</v>
      </c>
      <c r="AK25" s="181" t="s">
        <v>94</v>
      </c>
      <c r="AL25" s="182"/>
      <c r="AM25" s="182"/>
      <c r="AN25" s="182"/>
      <c r="AO25" s="183"/>
      <c r="AP25" s="91">
        <f>+AP20*AP22</f>
        <v>0</v>
      </c>
      <c r="AR25" s="181" t="s">
        <v>94</v>
      </c>
      <c r="AS25" s="182"/>
      <c r="AT25" s="182"/>
      <c r="AU25" s="182"/>
      <c r="AV25" s="183"/>
      <c r="AW25" s="91">
        <f>+AW20*AW22</f>
        <v>0</v>
      </c>
      <c r="AY25" s="181" t="s">
        <v>94</v>
      </c>
      <c r="AZ25" s="182"/>
      <c r="BA25" s="182"/>
      <c r="BB25" s="182"/>
      <c r="BC25" s="183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39</v>
      </c>
      <c r="G27" s="95">
        <f>+COUNTIF(G10:G16,"&gt;0,001")*G22</f>
        <v>100</v>
      </c>
      <c r="I27" s="92"/>
      <c r="J27" s="93"/>
      <c r="K27" s="93"/>
      <c r="L27" s="93"/>
      <c r="M27" s="68" t="s">
        <v>39</v>
      </c>
      <c r="N27" s="95">
        <f>+COUNTIF(N10:N16,"&gt;0,001")*N22</f>
        <v>60</v>
      </c>
      <c r="P27" s="92"/>
      <c r="Q27" s="93"/>
      <c r="R27" s="93"/>
      <c r="S27" s="93"/>
      <c r="T27" s="68" t="s">
        <v>39</v>
      </c>
      <c r="U27" s="95">
        <f>+COUNTIF(U10:U16,"&gt;0,001")*U22</f>
        <v>16</v>
      </c>
      <c r="W27" s="92"/>
      <c r="X27" s="93"/>
      <c r="Y27" s="93"/>
      <c r="Z27" s="93"/>
      <c r="AA27" s="68" t="s">
        <v>39</v>
      </c>
      <c r="AB27" s="95">
        <f>+COUNTIF(AB10:AB16,"&gt;0,001")*AB22</f>
        <v>0</v>
      </c>
      <c r="AD27" s="92"/>
      <c r="AE27" s="93"/>
      <c r="AF27" s="93"/>
      <c r="AG27" s="93"/>
      <c r="AH27" s="68" t="s">
        <v>39</v>
      </c>
      <c r="AI27" s="95">
        <f>+COUNTIF(AI10:AI16,"&gt;0,001")*AI22</f>
        <v>0</v>
      </c>
      <c r="AK27" s="92"/>
      <c r="AL27" s="93"/>
      <c r="AM27" s="93"/>
      <c r="AN27" s="93"/>
      <c r="AO27" s="68" t="s">
        <v>39</v>
      </c>
      <c r="AP27" s="95">
        <f>+COUNTIF(AP10:AP16,"&gt;0,001")*AP22</f>
        <v>0</v>
      </c>
      <c r="AR27" s="92"/>
      <c r="AS27" s="93"/>
      <c r="AT27" s="93"/>
      <c r="AU27" s="93"/>
      <c r="AV27" s="68" t="s">
        <v>39</v>
      </c>
      <c r="AW27" s="95">
        <f>+COUNTIF(AW10:AW16,"&gt;0,001")*AW22</f>
        <v>0</v>
      </c>
      <c r="AY27" s="92"/>
      <c r="AZ27" s="93"/>
      <c r="BA27" s="93"/>
      <c r="BB27" s="93"/>
      <c r="BC27" s="68" t="s">
        <v>39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7" t="s">
        <v>72</v>
      </c>
      <c r="N30" s="97" t="s">
        <v>61</v>
      </c>
    </row>
    <row r="32" spans="1:56" x14ac:dyDescent="0.25">
      <c r="F32" s="57" t="s">
        <v>11</v>
      </c>
      <c r="G32" s="98">
        <f>+G22+N22+U22+AB22+AI22+AP22+AW22+BD22</f>
        <v>40</v>
      </c>
      <c r="M32" s="57" t="s">
        <v>21</v>
      </c>
      <c r="N32" s="51">
        <f ca="1">+IF(N30="OUI",VLOOKUP(D5,base,3,TRUE),VLOOKUP(D5,base,2,TRUE))</f>
        <v>0.88639999999999997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INCOMPLETE</v>
      </c>
    </row>
    <row r="36" spans="1:14" x14ac:dyDescent="0.25">
      <c r="F36" s="56" t="s">
        <v>47</v>
      </c>
      <c r="G36" s="99">
        <f>+IF(G32=52,52, IF(G32&lt;47,G32,"ERREUR"))</f>
        <v>40</v>
      </c>
      <c r="M36" s="57" t="s">
        <v>97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98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4.4319999999999995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1462</v>
      </c>
      <c r="M42" s="57" t="s">
        <v>52</v>
      </c>
      <c r="N42" s="102">
        <v>3.5</v>
      </c>
    </row>
    <row r="43" spans="1:14" x14ac:dyDescent="0.25">
      <c r="F43" s="57" t="s">
        <v>94</v>
      </c>
      <c r="G43" s="96">
        <f>IF(G32,(G25+N25+U25+AB25+AI25+AP25+AW25+BD25)*G36/G32,0)</f>
        <v>150</v>
      </c>
    </row>
    <row r="44" spans="1:14" x14ac:dyDescent="0.25">
      <c r="F44" s="57"/>
      <c r="G44" s="96"/>
      <c r="M44" s="57" t="s">
        <v>53</v>
      </c>
      <c r="N44" s="102">
        <v>1</v>
      </c>
    </row>
    <row r="45" spans="1:14" x14ac:dyDescent="0.25">
      <c r="F45" s="57" t="s">
        <v>39</v>
      </c>
      <c r="G45" s="103">
        <f>+G27+N27+U27+AB27+AI27+AP27+AW27+BD27</f>
        <v>176</v>
      </c>
    </row>
    <row r="46" spans="1:14" x14ac:dyDescent="0.25">
      <c r="F46" s="57"/>
      <c r="G46" s="101"/>
      <c r="M46" s="57" t="s">
        <v>51</v>
      </c>
      <c r="N46" s="102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40</v>
      </c>
      <c r="G49" s="103">
        <f>+G45/12</f>
        <v>14.666666666666666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121.83333333333333</v>
      </c>
    </row>
    <row r="52" spans="1:7" x14ac:dyDescent="0.25">
      <c r="F52" s="56" t="s">
        <v>96</v>
      </c>
      <c r="G52" s="105">
        <f>+G43/12</f>
        <v>12.5</v>
      </c>
    </row>
    <row r="53" spans="1:7" x14ac:dyDescent="0.25">
      <c r="F53" s="57"/>
      <c r="G53" s="106">
        <f>+G52+G51</f>
        <v>134.33333333333331</v>
      </c>
    </row>
    <row r="55" spans="1:7" x14ac:dyDescent="0.25">
      <c r="E55" s="99"/>
      <c r="F55" s="56" t="s">
        <v>100</v>
      </c>
      <c r="G55" s="107">
        <f>+(G51*G38)+(G52*G38)</f>
        <v>671.66666666666663</v>
      </c>
    </row>
  </sheetData>
  <sheetProtection algorithmName="SHA-512" hashValue="NGN+z4v9aIU0cjC9vOzldQzDIbpHnVBwLBDjD7dZfmGSaY4Wc5KnF8S9h83FXEoZb9F+XecrNJLh59W9YUE48Q==" saltValue="lvTD4urhnSjiF/fDziST4w==" spinCount="100000" sheet="1" objects="1" scenarios="1" formatCells="0" formatColumns="0" formatRows="0" insertColumns="0" insertRows="0" insertHyperlink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137" priority="44">
      <formula>G17=0</formula>
    </cfRule>
  </conditionalFormatting>
  <conditionalFormatting sqref="B25:F25">
    <cfRule type="expression" dxfId="136" priority="43">
      <formula>G17=0</formula>
    </cfRule>
  </conditionalFormatting>
  <conditionalFormatting sqref="F43 F52">
    <cfRule type="expression" dxfId="135" priority="4">
      <formula>$G$43=0</formula>
    </cfRule>
  </conditionalFormatting>
  <conditionalFormatting sqref="G20">
    <cfRule type="expression" dxfId="134" priority="42">
      <formula>G17=0</formula>
    </cfRule>
  </conditionalFormatting>
  <conditionalFormatting sqref="G22">
    <cfRule type="cellIs" dxfId="133" priority="12" operator="between">
      <formula>47</formula>
      <formula>51</formula>
    </cfRule>
  </conditionalFormatting>
  <conditionalFormatting sqref="G25">
    <cfRule type="expression" dxfId="132" priority="41">
      <formula>G17=0</formula>
    </cfRule>
  </conditionalFormatting>
  <conditionalFormatting sqref="G32">
    <cfRule type="cellIs" dxfId="131" priority="46" operator="between">
      <formula>46.9999999999</formula>
      <formula>51.99999</formula>
    </cfRule>
    <cfRule type="cellIs" dxfId="130" priority="45" operator="greaterThanOrEqual">
      <formula>52.0000001</formula>
    </cfRule>
  </conditionalFormatting>
  <conditionalFormatting sqref="G43">
    <cfRule type="cellIs" dxfId="129" priority="3" operator="equal">
      <formula>0</formula>
    </cfRule>
  </conditionalFormatting>
  <conditionalFormatting sqref="G52">
    <cfRule type="cellIs" dxfId="128" priority="2" operator="equal">
      <formula>0</formula>
    </cfRule>
  </conditionalFormatting>
  <conditionalFormatting sqref="G53">
    <cfRule type="expression" dxfId="127" priority="1">
      <formula>$G$52=0</formula>
    </cfRule>
  </conditionalFormatting>
  <conditionalFormatting sqref="I20:M20">
    <cfRule type="expression" dxfId="126" priority="40">
      <formula>N17=0</formula>
    </cfRule>
  </conditionalFormatting>
  <conditionalFormatting sqref="I25:M25">
    <cfRule type="expression" dxfId="125" priority="26">
      <formula>N17=0</formula>
    </cfRule>
  </conditionalFormatting>
  <conditionalFormatting sqref="N20">
    <cfRule type="expression" dxfId="124" priority="39">
      <formula>N17=0</formula>
    </cfRule>
  </conditionalFormatting>
  <conditionalFormatting sqref="N22">
    <cfRule type="cellIs" dxfId="123" priority="11" operator="between">
      <formula>47</formula>
      <formula>51</formula>
    </cfRule>
  </conditionalFormatting>
  <conditionalFormatting sqref="N25">
    <cfRule type="expression" dxfId="122" priority="25">
      <formula>N17=0</formula>
    </cfRule>
  </conditionalFormatting>
  <conditionalFormatting sqref="P20:T20">
    <cfRule type="expression" dxfId="121" priority="38">
      <formula>U17=0</formula>
    </cfRule>
  </conditionalFormatting>
  <conditionalFormatting sqref="P25:T25">
    <cfRule type="expression" dxfId="120" priority="24">
      <formula>U17=0</formula>
    </cfRule>
  </conditionalFormatting>
  <conditionalFormatting sqref="U20">
    <cfRule type="expression" dxfId="119" priority="37">
      <formula>U17=0</formula>
    </cfRule>
  </conditionalFormatting>
  <conditionalFormatting sqref="U22">
    <cfRule type="cellIs" dxfId="118" priority="10" operator="between">
      <formula>47</formula>
      <formula>51</formula>
    </cfRule>
  </conditionalFormatting>
  <conditionalFormatting sqref="U25">
    <cfRule type="expression" dxfId="117" priority="23">
      <formula>U17=0</formula>
    </cfRule>
  </conditionalFormatting>
  <conditionalFormatting sqref="W20:AA20">
    <cfRule type="expression" dxfId="116" priority="36">
      <formula>AB17=0</formula>
    </cfRule>
  </conditionalFormatting>
  <conditionalFormatting sqref="W25:AA25">
    <cfRule type="expression" dxfId="115" priority="22">
      <formula>AB17=0</formula>
    </cfRule>
  </conditionalFormatting>
  <conditionalFormatting sqref="AB20">
    <cfRule type="expression" dxfId="114" priority="35">
      <formula>AB17=0</formula>
    </cfRule>
  </conditionalFormatting>
  <conditionalFormatting sqref="AB22">
    <cfRule type="cellIs" dxfId="113" priority="9" operator="between">
      <formula>47</formula>
      <formula>51</formula>
    </cfRule>
  </conditionalFormatting>
  <conditionalFormatting sqref="AB25">
    <cfRule type="expression" dxfId="112" priority="21">
      <formula>AB17=0</formula>
    </cfRule>
  </conditionalFormatting>
  <conditionalFormatting sqref="AD20:AH20">
    <cfRule type="expression" dxfId="111" priority="34">
      <formula>AI17=0</formula>
    </cfRule>
  </conditionalFormatting>
  <conditionalFormatting sqref="AD25:AH25">
    <cfRule type="expression" dxfId="110" priority="20">
      <formula>AI17=0</formula>
    </cfRule>
  </conditionalFormatting>
  <conditionalFormatting sqref="AI20">
    <cfRule type="expression" dxfId="109" priority="33">
      <formula>AI17=0</formula>
    </cfRule>
  </conditionalFormatting>
  <conditionalFormatting sqref="AI22">
    <cfRule type="cellIs" dxfId="108" priority="8" operator="between">
      <formula>47</formula>
      <formula>51</formula>
    </cfRule>
  </conditionalFormatting>
  <conditionalFormatting sqref="AI25">
    <cfRule type="expression" dxfId="107" priority="19">
      <formula>AI17=0</formula>
    </cfRule>
  </conditionalFormatting>
  <conditionalFormatting sqref="AK20:AO20">
    <cfRule type="expression" dxfId="106" priority="32">
      <formula>AP17=0</formula>
    </cfRule>
  </conditionalFormatting>
  <conditionalFormatting sqref="AK25:AO25">
    <cfRule type="expression" dxfId="105" priority="18">
      <formula>AP17=0</formula>
    </cfRule>
  </conditionalFormatting>
  <conditionalFormatting sqref="AP20">
    <cfRule type="expression" dxfId="104" priority="31">
      <formula>AP17=0</formula>
    </cfRule>
  </conditionalFormatting>
  <conditionalFormatting sqref="AP22">
    <cfRule type="cellIs" dxfId="103" priority="7" operator="between">
      <formula>47</formula>
      <formula>51</formula>
    </cfRule>
  </conditionalFormatting>
  <conditionalFormatting sqref="AP25">
    <cfRule type="expression" dxfId="102" priority="17">
      <formula>AP17=0</formula>
    </cfRule>
  </conditionalFormatting>
  <conditionalFormatting sqref="AR20:AV20">
    <cfRule type="expression" dxfId="101" priority="30">
      <formula>AW17=0</formula>
    </cfRule>
  </conditionalFormatting>
  <conditionalFormatting sqref="AR25:AV25">
    <cfRule type="expression" dxfId="100" priority="16">
      <formula>AW17=0</formula>
    </cfRule>
  </conditionalFormatting>
  <conditionalFormatting sqref="AW20">
    <cfRule type="expression" dxfId="99" priority="29">
      <formula>AW17=0</formula>
    </cfRule>
  </conditionalFormatting>
  <conditionalFormatting sqref="AW22">
    <cfRule type="cellIs" dxfId="98" priority="6" operator="between">
      <formula>47</formula>
      <formula>51</formula>
    </cfRule>
  </conditionalFormatting>
  <conditionalFormatting sqref="AW25">
    <cfRule type="expression" dxfId="97" priority="15">
      <formula>AW17=0</formula>
    </cfRule>
  </conditionalFormatting>
  <conditionalFormatting sqref="AY20:BC20">
    <cfRule type="expression" dxfId="96" priority="28">
      <formula>BD17=0</formula>
    </cfRule>
  </conditionalFormatting>
  <conditionalFormatting sqref="AY25:BC25">
    <cfRule type="expression" dxfId="95" priority="14">
      <formula>BD17=0</formula>
    </cfRule>
  </conditionalFormatting>
  <conditionalFormatting sqref="BD20">
    <cfRule type="expression" dxfId="94" priority="27">
      <formula>BD17=0</formula>
    </cfRule>
  </conditionalFormatting>
  <conditionalFormatting sqref="BD22">
    <cfRule type="cellIs" dxfId="93" priority="5" operator="between">
      <formula>47</formula>
      <formula>51</formula>
    </cfRule>
  </conditionalFormatting>
  <conditionalFormatting sqref="BD25">
    <cfRule type="expression" dxfId="92" priority="13">
      <formula>BD17=0</formula>
    </cfRule>
  </conditionalFormatting>
  <dataValidations count="2">
    <dataValidation type="list" allowBlank="1" showInputMessage="1" showErrorMessage="1" sqref="N30" xr:uid="{616297F8-4443-48B6-9C2D-21E667E70023}">
      <formula1>"OUI,NON"</formula1>
    </dataValidation>
    <dataValidation errorStyle="information" allowBlank="1" showErrorMessage="1" errorTitle="Ne peut ête supérieure à 52 sem" sqref="G32" xr:uid="{CAB4F6DB-423D-4AFD-BB27-1B39A7EA472E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3A85-6567-45E0-A184-E63253FC096F}">
  <sheetPr>
    <tabColor theme="2" tint="-0.749992370372631"/>
  </sheetPr>
  <dimension ref="A1:BD55"/>
  <sheetViews>
    <sheetView showGridLines="0" zoomScale="80" zoomScaleNormal="80" workbookViewId="0">
      <selection activeCell="N31" sqref="N31:N32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55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56"/>
      <c r="E3" s="156"/>
      <c r="F3" s="156"/>
      <c r="I3" s="57"/>
    </row>
    <row r="5" spans="1:56" ht="18.75" x14ac:dyDescent="0.3">
      <c r="A5" s="81" t="s">
        <v>24</v>
      </c>
      <c r="C5" s="82" t="s">
        <v>91</v>
      </c>
      <c r="D5" s="61">
        <f ca="1">+IF(D6="",NOW(),D6)</f>
        <v>45684.618809259257</v>
      </c>
      <c r="E5" s="83"/>
      <c r="F5" s="83"/>
    </row>
    <row r="6" spans="1:56" ht="18.75" x14ac:dyDescent="0.3">
      <c r="A6" s="81"/>
      <c r="C6" s="57" t="s">
        <v>92</v>
      </c>
      <c r="D6" s="84"/>
      <c r="E6" s="83"/>
      <c r="F6" s="83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60" t="s">
        <v>12</v>
      </c>
      <c r="I8" s="161"/>
      <c r="J8" s="161"/>
      <c r="K8" s="161"/>
      <c r="L8" s="161"/>
      <c r="M8" s="161"/>
      <c r="N8" s="162"/>
      <c r="O8" s="163" t="s">
        <v>13</v>
      </c>
      <c r="P8" s="164"/>
      <c r="Q8" s="164"/>
      <c r="R8" s="164"/>
      <c r="S8" s="164"/>
      <c r="T8" s="164"/>
      <c r="U8" s="165"/>
      <c r="V8" s="166" t="s">
        <v>14</v>
      </c>
      <c r="W8" s="167"/>
      <c r="X8" s="167"/>
      <c r="Y8" s="167"/>
      <c r="Z8" s="167"/>
      <c r="AA8" s="167"/>
      <c r="AB8" s="168"/>
      <c r="AC8" s="169" t="s">
        <v>15</v>
      </c>
      <c r="AD8" s="170"/>
      <c r="AE8" s="170"/>
      <c r="AF8" s="170"/>
      <c r="AG8" s="170"/>
      <c r="AH8" s="170"/>
      <c r="AI8" s="171"/>
      <c r="AJ8" s="172" t="s">
        <v>16</v>
      </c>
      <c r="AK8" s="173"/>
      <c r="AL8" s="173"/>
      <c r="AM8" s="173"/>
      <c r="AN8" s="173"/>
      <c r="AO8" s="173"/>
      <c r="AP8" s="174"/>
      <c r="AQ8" s="175" t="s">
        <v>17</v>
      </c>
      <c r="AR8" s="176"/>
      <c r="AS8" s="176"/>
      <c r="AT8" s="176"/>
      <c r="AU8" s="176"/>
      <c r="AV8" s="176"/>
      <c r="AW8" s="177"/>
      <c r="AX8" s="178" t="s">
        <v>18</v>
      </c>
      <c r="AY8" s="179"/>
      <c r="AZ8" s="179"/>
      <c r="BA8" s="179"/>
      <c r="BB8" s="179"/>
      <c r="BC8" s="179"/>
      <c r="BD8" s="180"/>
    </row>
    <row r="9" spans="1:56" ht="30" x14ac:dyDescent="0.25">
      <c r="A9" s="85" t="s">
        <v>0</v>
      </c>
      <c r="B9" s="85" t="s">
        <v>56</v>
      </c>
      <c r="C9" s="85" t="s">
        <v>57</v>
      </c>
      <c r="D9" s="85" t="s">
        <v>58</v>
      </c>
      <c r="E9" s="85" t="s">
        <v>59</v>
      </c>
      <c r="F9" s="85" t="s">
        <v>2</v>
      </c>
      <c r="G9" s="85" t="s">
        <v>3</v>
      </c>
      <c r="H9" s="85" t="s">
        <v>0</v>
      </c>
      <c r="I9" s="85" t="s">
        <v>56</v>
      </c>
      <c r="J9" s="85" t="s">
        <v>57</v>
      </c>
      <c r="K9" s="85" t="s">
        <v>58</v>
      </c>
      <c r="L9" s="85" t="s">
        <v>59</v>
      </c>
      <c r="M9" s="85" t="s">
        <v>2</v>
      </c>
      <c r="N9" s="85" t="s">
        <v>3</v>
      </c>
      <c r="O9" s="85" t="s">
        <v>0</v>
      </c>
      <c r="P9" s="85" t="s">
        <v>56</v>
      </c>
      <c r="Q9" s="85" t="s">
        <v>57</v>
      </c>
      <c r="R9" s="85" t="s">
        <v>58</v>
      </c>
      <c r="S9" s="85" t="s">
        <v>59</v>
      </c>
      <c r="T9" s="85" t="s">
        <v>2</v>
      </c>
      <c r="U9" s="85" t="s">
        <v>3</v>
      </c>
      <c r="V9" s="85" t="s">
        <v>0</v>
      </c>
      <c r="W9" s="85" t="s">
        <v>56</v>
      </c>
      <c r="X9" s="85" t="s">
        <v>57</v>
      </c>
      <c r="Y9" s="85" t="s">
        <v>58</v>
      </c>
      <c r="Z9" s="85" t="s">
        <v>59</v>
      </c>
      <c r="AA9" s="85" t="s">
        <v>2</v>
      </c>
      <c r="AB9" s="85" t="s">
        <v>3</v>
      </c>
      <c r="AC9" s="85" t="s">
        <v>0</v>
      </c>
      <c r="AD9" s="85" t="s">
        <v>56</v>
      </c>
      <c r="AE9" s="85" t="s">
        <v>57</v>
      </c>
      <c r="AF9" s="85" t="s">
        <v>58</v>
      </c>
      <c r="AG9" s="85" t="s">
        <v>59</v>
      </c>
      <c r="AH9" s="85" t="s">
        <v>2</v>
      </c>
      <c r="AI9" s="85" t="s">
        <v>3</v>
      </c>
      <c r="AJ9" s="85" t="s">
        <v>0</v>
      </c>
      <c r="AK9" s="85" t="s">
        <v>56</v>
      </c>
      <c r="AL9" s="85" t="s">
        <v>57</v>
      </c>
      <c r="AM9" s="85" t="s">
        <v>58</v>
      </c>
      <c r="AN9" s="85" t="s">
        <v>59</v>
      </c>
      <c r="AO9" s="85" t="s">
        <v>2</v>
      </c>
      <c r="AP9" s="85" t="s">
        <v>3</v>
      </c>
      <c r="AQ9" s="85" t="s">
        <v>0</v>
      </c>
      <c r="AR9" s="85" t="s">
        <v>56</v>
      </c>
      <c r="AS9" s="85" t="s">
        <v>57</v>
      </c>
      <c r="AT9" s="85" t="s">
        <v>58</v>
      </c>
      <c r="AU9" s="85" t="s">
        <v>59</v>
      </c>
      <c r="AV9" s="85" t="s">
        <v>2</v>
      </c>
      <c r="AW9" s="85" t="s">
        <v>3</v>
      </c>
      <c r="AX9" s="85" t="s">
        <v>0</v>
      </c>
      <c r="AY9" s="85" t="s">
        <v>56</v>
      </c>
      <c r="AZ9" s="85" t="s">
        <v>57</v>
      </c>
      <c r="BA9" s="85" t="s">
        <v>58</v>
      </c>
      <c r="BB9" s="85" t="s">
        <v>59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0.33333333333333331</v>
      </c>
      <c r="C10" s="87">
        <v>0.77083333333333337</v>
      </c>
      <c r="D10" s="87"/>
      <c r="E10" s="87"/>
      <c r="F10" s="88">
        <f t="shared" ref="F10:F16" si="0">+C10-B10+E10-D10</f>
        <v>0.43750000000000006</v>
      </c>
      <c r="G10" s="89">
        <f t="shared" ref="G10:G16" si="1">ROUND(+F10*24,2)</f>
        <v>10.5</v>
      </c>
      <c r="H10" s="86" t="s">
        <v>4</v>
      </c>
      <c r="I10" s="87"/>
      <c r="J10" s="87"/>
      <c r="K10" s="87"/>
      <c r="L10" s="87"/>
      <c r="M10" s="88">
        <f>+J10-I10+L10-K10</f>
        <v>0</v>
      </c>
      <c r="N10" s="89">
        <f>ROUND(+M10*24,2)</f>
        <v>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0.33333333333333331</v>
      </c>
      <c r="C11" s="87">
        <v>0.77083333333333337</v>
      </c>
      <c r="D11" s="87"/>
      <c r="E11" s="87"/>
      <c r="F11" s="88">
        <f t="shared" si="0"/>
        <v>0.43750000000000006</v>
      </c>
      <c r="G11" s="89">
        <f t="shared" si="1"/>
        <v>10.5</v>
      </c>
      <c r="H11" s="86" t="s">
        <v>5</v>
      </c>
      <c r="I11" s="87"/>
      <c r="J11" s="87"/>
      <c r="K11" s="87"/>
      <c r="L11" s="87"/>
      <c r="M11" s="88">
        <f t="shared" ref="M11:M16" si="2">+J11-I11+L11-K11</f>
        <v>0</v>
      </c>
      <c r="N11" s="89">
        <f t="shared" ref="N11:N16" si="3">ROUND(+M11*24,2)</f>
        <v>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0.77083333333333337</v>
      </c>
      <c r="D12" s="87"/>
      <c r="E12" s="87"/>
      <c r="F12" s="88">
        <f t="shared" si="0"/>
        <v>0.43750000000000006</v>
      </c>
      <c r="G12" s="89">
        <f t="shared" si="1"/>
        <v>10.5</v>
      </c>
      <c r="H12" s="86" t="s">
        <v>6</v>
      </c>
      <c r="I12" s="87"/>
      <c r="J12" s="87"/>
      <c r="K12" s="87"/>
      <c r="L12" s="87"/>
      <c r="M12" s="88">
        <f t="shared" si="2"/>
        <v>0</v>
      </c>
      <c r="N12" s="89">
        <f t="shared" si="3"/>
        <v>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0.33333333333333331</v>
      </c>
      <c r="C13" s="87">
        <v>0.77083333333333337</v>
      </c>
      <c r="D13" s="87"/>
      <c r="E13" s="87"/>
      <c r="F13" s="88">
        <f t="shared" si="0"/>
        <v>0.43750000000000006</v>
      </c>
      <c r="G13" s="89">
        <f t="shared" si="1"/>
        <v>10.5</v>
      </c>
      <c r="H13" s="86" t="s">
        <v>7</v>
      </c>
      <c r="I13" s="87"/>
      <c r="J13" s="87"/>
      <c r="K13" s="87"/>
      <c r="L13" s="87"/>
      <c r="M13" s="88">
        <f t="shared" si="2"/>
        <v>0</v>
      </c>
      <c r="N13" s="89">
        <f t="shared" si="3"/>
        <v>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0.33333333333333331</v>
      </c>
      <c r="C14" s="87">
        <v>0.77083333333333337</v>
      </c>
      <c r="D14" s="87"/>
      <c r="E14" s="87"/>
      <c r="F14" s="88">
        <f t="shared" si="0"/>
        <v>0.43750000000000006</v>
      </c>
      <c r="G14" s="89">
        <f t="shared" si="1"/>
        <v>10.5</v>
      </c>
      <c r="H14" s="86" t="s">
        <v>8</v>
      </c>
      <c r="I14" s="87"/>
      <c r="J14" s="87"/>
      <c r="K14" s="87"/>
      <c r="L14" s="87"/>
      <c r="M14" s="88">
        <f t="shared" si="2"/>
        <v>0</v>
      </c>
      <c r="N14" s="89">
        <f t="shared" si="3"/>
        <v>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46</v>
      </c>
      <c r="G17" s="89">
        <f>SUM(G10:G16)</f>
        <v>52.5</v>
      </c>
      <c r="I17" s="90"/>
      <c r="J17" s="90"/>
      <c r="K17" s="90"/>
      <c r="L17" s="90"/>
      <c r="M17" s="86" t="s">
        <v>46</v>
      </c>
      <c r="N17" s="89">
        <f>SUM(N10:N16)</f>
        <v>0</v>
      </c>
      <c r="P17" s="90"/>
      <c r="Q17" s="90"/>
      <c r="R17" s="90"/>
      <c r="S17" s="90"/>
      <c r="T17" s="86" t="s">
        <v>46</v>
      </c>
      <c r="U17" s="89">
        <f>SUM(U10:U16)</f>
        <v>0</v>
      </c>
      <c r="W17" s="90"/>
      <c r="X17" s="90"/>
      <c r="Y17" s="90"/>
      <c r="Z17" s="90"/>
      <c r="AA17" s="86" t="s">
        <v>46</v>
      </c>
      <c r="AB17" s="89">
        <f>SUM(AB10:AB16)</f>
        <v>0</v>
      </c>
      <c r="AD17" s="90"/>
      <c r="AE17" s="90"/>
      <c r="AF17" s="90"/>
      <c r="AG17" s="90"/>
      <c r="AH17" s="86" t="s">
        <v>46</v>
      </c>
      <c r="AI17" s="89">
        <f>SUM(AI10:AI16)</f>
        <v>0</v>
      </c>
      <c r="AK17" s="90"/>
      <c r="AL17" s="90"/>
      <c r="AM17" s="90"/>
      <c r="AN17" s="90"/>
      <c r="AO17" s="86" t="s">
        <v>46</v>
      </c>
      <c r="AP17" s="89">
        <f>SUM(AP10:AP16)</f>
        <v>0</v>
      </c>
      <c r="AR17" s="90"/>
      <c r="AS17" s="90"/>
      <c r="AT17" s="90"/>
      <c r="AU17" s="90"/>
      <c r="AV17" s="86" t="s">
        <v>46</v>
      </c>
      <c r="AW17" s="89">
        <f>SUM(AW10:AW16)</f>
        <v>0</v>
      </c>
      <c r="AY17" s="90"/>
      <c r="AZ17" s="90"/>
      <c r="BA17" s="90"/>
      <c r="BB17" s="90"/>
      <c r="BC17" s="86" t="s">
        <v>46</v>
      </c>
      <c r="BD17" s="89">
        <f>SUM(BD10:BD16)</f>
        <v>0</v>
      </c>
    </row>
    <row r="19" spans="1:56" x14ac:dyDescent="0.25">
      <c r="B19" s="181" t="str">
        <f>+IF(K17=0,"Nombre d'heures :","Nombre d'heures (Inf. ou égales à 45 hrs / sem) :")</f>
        <v>Nombre d'heures :</v>
      </c>
      <c r="C19" s="182"/>
      <c r="D19" s="182"/>
      <c r="E19" s="182"/>
      <c r="F19" s="183"/>
      <c r="G19" s="91">
        <f>+IF(G17&gt;=45,45,G17)</f>
        <v>45</v>
      </c>
      <c r="I19" s="181" t="str">
        <f>+IF(R17=0,"Nombre d'heures :","Nombre d'heures (Inf. ou égales à 45 hrs / sem) :")</f>
        <v>Nombre d'heures :</v>
      </c>
      <c r="J19" s="182"/>
      <c r="K19" s="182"/>
      <c r="L19" s="182"/>
      <c r="M19" s="183"/>
      <c r="N19" s="91">
        <f>+IF(N17&gt;=45,45,N17)</f>
        <v>0</v>
      </c>
      <c r="P19" s="181" t="str">
        <f>+IF(Y17=0,"Nombre d'heures :","Nombre d'heures (Inf. ou égales à 45 hrs / sem) :")</f>
        <v>Nombre d'heures :</v>
      </c>
      <c r="Q19" s="182"/>
      <c r="R19" s="182"/>
      <c r="S19" s="182"/>
      <c r="T19" s="183"/>
      <c r="U19" s="91">
        <f>+IF(U17&gt;=45,45,U17)</f>
        <v>0</v>
      </c>
      <c r="W19" s="181" t="str">
        <f>+IF(AF17=0,"Nombre d'heures :","Nombre d'heures (Inf. ou égales à 45 hrs / sem) :")</f>
        <v>Nombre d'heures :</v>
      </c>
      <c r="X19" s="182"/>
      <c r="Y19" s="182"/>
      <c r="Z19" s="182"/>
      <c r="AA19" s="183"/>
      <c r="AB19" s="91">
        <f>+IF(AB17&gt;=45,45,AB17)</f>
        <v>0</v>
      </c>
      <c r="AD19" s="181" t="str">
        <f>+IF(AM17=0,"Nombre d'heures :","Nombre d'heures (Inf. ou égales à 45 hrs / sem) :")</f>
        <v>Nombre d'heures :</v>
      </c>
      <c r="AE19" s="182"/>
      <c r="AF19" s="182"/>
      <c r="AG19" s="182"/>
      <c r="AH19" s="183"/>
      <c r="AI19" s="91">
        <f>+IF(AI17&gt;=45,45,AI17)</f>
        <v>0</v>
      </c>
      <c r="AK19" s="181" t="str">
        <f>+IF(AT17=0,"Nombre d'heures :","Nombre d'heures (Inf. ou égales à 45 hrs / sem) :")</f>
        <v>Nombre d'heures :</v>
      </c>
      <c r="AL19" s="182"/>
      <c r="AM19" s="182"/>
      <c r="AN19" s="182"/>
      <c r="AO19" s="183"/>
      <c r="AP19" s="91">
        <f>+IF(AP17&gt;=45,45,AP17)</f>
        <v>0</v>
      </c>
      <c r="AR19" s="181" t="str">
        <f>+IF(BA17=0,"Nombre d'heures :","Nombre d'heures (Inf. ou égales à 45 hrs / sem) :")</f>
        <v>Nombre d'heures :</v>
      </c>
      <c r="AS19" s="182"/>
      <c r="AT19" s="182"/>
      <c r="AU19" s="182"/>
      <c r="AV19" s="183"/>
      <c r="AW19" s="91">
        <f>+IF(AW17&gt;=45,45,AW17)</f>
        <v>0</v>
      </c>
      <c r="AY19" s="181" t="str">
        <f>+IF(BH17=0,"Nombre d'heures :","Nombre d'heures (Inf. ou égales à 45 hrs / sem) :")</f>
        <v>Nombre d'heures :</v>
      </c>
      <c r="AZ19" s="182"/>
      <c r="BA19" s="182"/>
      <c r="BB19" s="182"/>
      <c r="BC19" s="183"/>
      <c r="BD19" s="91">
        <f>+IF(BD17&gt;=45,45,BD17)</f>
        <v>0</v>
      </c>
    </row>
    <row r="20" spans="1:56" x14ac:dyDescent="0.25">
      <c r="B20" s="181" t="s">
        <v>93</v>
      </c>
      <c r="C20" s="182"/>
      <c r="D20" s="182"/>
      <c r="E20" s="182"/>
      <c r="F20" s="183"/>
      <c r="G20" s="91">
        <f>+IF(G17&gt;45,G17-45,0)</f>
        <v>7.5</v>
      </c>
      <c r="I20" s="181" t="s">
        <v>93</v>
      </c>
      <c r="J20" s="182"/>
      <c r="K20" s="182"/>
      <c r="L20" s="182"/>
      <c r="M20" s="183"/>
      <c r="N20" s="91">
        <f>+IF(N17&gt;45,N17-45,0)</f>
        <v>0</v>
      </c>
      <c r="P20" s="181" t="s">
        <v>93</v>
      </c>
      <c r="Q20" s="182"/>
      <c r="R20" s="182"/>
      <c r="S20" s="182"/>
      <c r="T20" s="183"/>
      <c r="U20" s="91">
        <f>+IF(U17&gt;45,U17-45,0)</f>
        <v>0</v>
      </c>
      <c r="W20" s="181" t="s">
        <v>93</v>
      </c>
      <c r="X20" s="182"/>
      <c r="Y20" s="182"/>
      <c r="Z20" s="182"/>
      <c r="AA20" s="183"/>
      <c r="AB20" s="91">
        <f>+IF(AB17&gt;45,AB17-45,0)</f>
        <v>0</v>
      </c>
      <c r="AD20" s="181" t="s">
        <v>93</v>
      </c>
      <c r="AE20" s="182"/>
      <c r="AF20" s="182"/>
      <c r="AG20" s="182"/>
      <c r="AH20" s="183"/>
      <c r="AI20" s="91">
        <f>+IF(AI17&gt;45,AI17-45,0)</f>
        <v>0</v>
      </c>
      <c r="AK20" s="181" t="s">
        <v>93</v>
      </c>
      <c r="AL20" s="182"/>
      <c r="AM20" s="182"/>
      <c r="AN20" s="182"/>
      <c r="AO20" s="183"/>
      <c r="AP20" s="91">
        <f>+IF(AP17&gt;45,AP17-45,0)</f>
        <v>0</v>
      </c>
      <c r="AR20" s="181" t="s">
        <v>93</v>
      </c>
      <c r="AS20" s="182"/>
      <c r="AT20" s="182"/>
      <c r="AU20" s="182"/>
      <c r="AV20" s="183"/>
      <c r="AW20" s="91">
        <f>+IF(AW17&gt;45,AW17-45,0)</f>
        <v>0</v>
      </c>
      <c r="AY20" s="181" t="s">
        <v>93</v>
      </c>
      <c r="AZ20" s="182"/>
      <c r="BA20" s="182"/>
      <c r="BB20" s="182"/>
      <c r="BC20" s="183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52</v>
      </c>
      <c r="I22" s="92"/>
      <c r="J22" s="93"/>
      <c r="K22" s="93"/>
      <c r="L22" s="93"/>
      <c r="M22" s="69" t="s">
        <v>11</v>
      </c>
      <c r="N22" s="94"/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95</v>
      </c>
    </row>
    <row r="24" spans="1:56" x14ac:dyDescent="0.25">
      <c r="B24" s="181" t="str">
        <f>+IF(K22=0,"Total annuel heures :","Total annuel heures (Inf. ou égales à 45 hrs / sem) :")</f>
        <v>Total annuel heures :</v>
      </c>
      <c r="C24" s="182"/>
      <c r="D24" s="182"/>
      <c r="E24" s="182"/>
      <c r="F24" s="183"/>
      <c r="G24" s="91">
        <f>+G19*G22</f>
        <v>2340</v>
      </c>
      <c r="I24" s="181" t="str">
        <f>+IF(R22=0,"Total annuel heures :","Total annuel heures (Inf. ou égales à 45 hrs / sem) :")</f>
        <v>Total annuel heures :</v>
      </c>
      <c r="J24" s="182"/>
      <c r="K24" s="182"/>
      <c r="L24" s="182"/>
      <c r="M24" s="183"/>
      <c r="N24" s="91">
        <f>+N19*N22</f>
        <v>0</v>
      </c>
      <c r="P24" s="181" t="str">
        <f>+IF(Y22=0,"Total annuel heures :","Total annuel heures (Inf. ou égales à 45 hrs / sem) :")</f>
        <v>Total annuel heures :</v>
      </c>
      <c r="Q24" s="182"/>
      <c r="R24" s="182"/>
      <c r="S24" s="182"/>
      <c r="T24" s="183"/>
      <c r="U24" s="91">
        <f>+U19*U22</f>
        <v>0</v>
      </c>
      <c r="W24" s="181" t="str">
        <f>+IF(AF22=0,"Total annuel heures :","Total annuel heures (Inf. ou égales à 45 hrs / sem) :")</f>
        <v>Total annuel heures :</v>
      </c>
      <c r="X24" s="182"/>
      <c r="Y24" s="182"/>
      <c r="Z24" s="182"/>
      <c r="AA24" s="183"/>
      <c r="AB24" s="91">
        <f>+AB19*AB22</f>
        <v>0</v>
      </c>
      <c r="AD24" s="181" t="str">
        <f>+IF(AM22=0,"Total annuel heures :","Total annuel heures (Inf. ou égales à 45 hrs / sem) :")</f>
        <v>Total annuel heures :</v>
      </c>
      <c r="AE24" s="182"/>
      <c r="AF24" s="182"/>
      <c r="AG24" s="182"/>
      <c r="AH24" s="183"/>
      <c r="AI24" s="91">
        <f>+AI19*AI22</f>
        <v>0</v>
      </c>
      <c r="AK24" s="181" t="str">
        <f>+IF(AT22=0,"Total annuel heures :","Total annuel heures (Inf. ou égales à 45 hrs / sem) :")</f>
        <v>Total annuel heures :</v>
      </c>
      <c r="AL24" s="182"/>
      <c r="AM24" s="182"/>
      <c r="AN24" s="182"/>
      <c r="AO24" s="183"/>
      <c r="AP24" s="91">
        <f>+AP19*AP22</f>
        <v>0</v>
      </c>
      <c r="AR24" s="181" t="str">
        <f>+IF(BA22=0,"Total annuel heures :","Total annuel heures (Inf. ou égales à 45 hrs / sem) :")</f>
        <v>Total annuel heures :</v>
      </c>
      <c r="AS24" s="182"/>
      <c r="AT24" s="182"/>
      <c r="AU24" s="182"/>
      <c r="AV24" s="183"/>
      <c r="AW24" s="91">
        <f>+AW19*AW22</f>
        <v>0</v>
      </c>
      <c r="AY24" s="181" t="str">
        <f>+IF(BH22=0,"Total annuel heures :","Total annuel heures (Inf. ou égales à 45 hrs / sem) :")</f>
        <v>Total annuel heures :</v>
      </c>
      <c r="AZ24" s="182"/>
      <c r="BA24" s="182"/>
      <c r="BB24" s="182"/>
      <c r="BC24" s="183"/>
      <c r="BD24" s="91">
        <f>+BD19*BD22</f>
        <v>0</v>
      </c>
    </row>
    <row r="25" spans="1:56" x14ac:dyDescent="0.25">
      <c r="B25" s="181" t="s">
        <v>94</v>
      </c>
      <c r="C25" s="182"/>
      <c r="D25" s="182"/>
      <c r="E25" s="182"/>
      <c r="F25" s="183"/>
      <c r="G25" s="91">
        <f>+G20*G22</f>
        <v>390</v>
      </c>
      <c r="I25" s="181" t="s">
        <v>94</v>
      </c>
      <c r="J25" s="182"/>
      <c r="K25" s="182"/>
      <c r="L25" s="182"/>
      <c r="M25" s="183"/>
      <c r="N25" s="91">
        <f>+N20*N22</f>
        <v>0</v>
      </c>
      <c r="P25" s="181" t="s">
        <v>94</v>
      </c>
      <c r="Q25" s="182"/>
      <c r="R25" s="182"/>
      <c r="S25" s="182"/>
      <c r="T25" s="183"/>
      <c r="U25" s="91">
        <f>+U20*U22</f>
        <v>0</v>
      </c>
      <c r="W25" s="181" t="s">
        <v>94</v>
      </c>
      <c r="X25" s="182"/>
      <c r="Y25" s="182"/>
      <c r="Z25" s="182"/>
      <c r="AA25" s="183"/>
      <c r="AB25" s="91">
        <f>+AB20*AB22</f>
        <v>0</v>
      </c>
      <c r="AD25" s="181" t="s">
        <v>94</v>
      </c>
      <c r="AE25" s="182"/>
      <c r="AF25" s="182"/>
      <c r="AG25" s="182"/>
      <c r="AH25" s="183"/>
      <c r="AI25" s="91">
        <f>+AI20*AI22</f>
        <v>0</v>
      </c>
      <c r="AK25" s="181" t="s">
        <v>94</v>
      </c>
      <c r="AL25" s="182"/>
      <c r="AM25" s="182"/>
      <c r="AN25" s="182"/>
      <c r="AO25" s="183"/>
      <c r="AP25" s="91">
        <f>+AP20*AP22</f>
        <v>0</v>
      </c>
      <c r="AR25" s="181" t="s">
        <v>94</v>
      </c>
      <c r="AS25" s="182"/>
      <c r="AT25" s="182"/>
      <c r="AU25" s="182"/>
      <c r="AV25" s="183"/>
      <c r="AW25" s="91">
        <f>+AW20*AW22</f>
        <v>0</v>
      </c>
      <c r="AY25" s="181" t="s">
        <v>94</v>
      </c>
      <c r="AZ25" s="182"/>
      <c r="BA25" s="182"/>
      <c r="BB25" s="182"/>
      <c r="BC25" s="183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39</v>
      </c>
      <c r="G27" s="95">
        <f>+COUNTIF(G10:G16,"&gt;0,001")*G22</f>
        <v>260</v>
      </c>
      <c r="I27" s="92"/>
      <c r="J27" s="93"/>
      <c r="K27" s="93"/>
      <c r="L27" s="93"/>
      <c r="M27" s="68" t="s">
        <v>39</v>
      </c>
      <c r="N27" s="95">
        <f>+COUNTIF(N10:N16,"&gt;0,001")*N22</f>
        <v>0</v>
      </c>
      <c r="P27" s="92"/>
      <c r="Q27" s="93"/>
      <c r="R27" s="93"/>
      <c r="S27" s="93"/>
      <c r="T27" s="68" t="s">
        <v>39</v>
      </c>
      <c r="U27" s="95">
        <f>+COUNTIF(U10:U16,"&gt;0,001")*U22</f>
        <v>0</v>
      </c>
      <c r="W27" s="92"/>
      <c r="X27" s="93"/>
      <c r="Y27" s="93"/>
      <c r="Z27" s="93"/>
      <c r="AA27" s="68" t="s">
        <v>39</v>
      </c>
      <c r="AB27" s="95">
        <f>+COUNTIF(AB10:AB16,"&gt;0,001")*AB22</f>
        <v>0</v>
      </c>
      <c r="AD27" s="92"/>
      <c r="AE27" s="93"/>
      <c r="AF27" s="93"/>
      <c r="AG27" s="93"/>
      <c r="AH27" s="68" t="s">
        <v>39</v>
      </c>
      <c r="AI27" s="95">
        <f>+COUNTIF(AI10:AI16,"&gt;0,001")*AI22</f>
        <v>0</v>
      </c>
      <c r="AK27" s="92"/>
      <c r="AL27" s="93"/>
      <c r="AM27" s="93"/>
      <c r="AN27" s="93"/>
      <c r="AO27" s="68" t="s">
        <v>39</v>
      </c>
      <c r="AP27" s="95">
        <f>+COUNTIF(AP10:AP16,"&gt;0,001")*AP22</f>
        <v>0</v>
      </c>
      <c r="AR27" s="92"/>
      <c r="AS27" s="93"/>
      <c r="AT27" s="93"/>
      <c r="AU27" s="93"/>
      <c r="AV27" s="68" t="s">
        <v>39</v>
      </c>
      <c r="AW27" s="95">
        <f>+COUNTIF(AW10:AW16,"&gt;0,001")*AW22</f>
        <v>0</v>
      </c>
      <c r="AY27" s="92"/>
      <c r="AZ27" s="93"/>
      <c r="BA27" s="93"/>
      <c r="BB27" s="93"/>
      <c r="BC27" s="68" t="s">
        <v>39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7" t="s">
        <v>72</v>
      </c>
      <c r="N30" s="97" t="s">
        <v>61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0.88639999999999997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47</v>
      </c>
      <c r="G36" s="99">
        <f>+IF(G32=52,52, IF(G32&lt;47,G32,"ERREUR"))</f>
        <v>52</v>
      </c>
      <c r="M36" s="57" t="s">
        <v>97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98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4.4319999999999995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2340</v>
      </c>
      <c r="M42" s="57" t="s">
        <v>52</v>
      </c>
      <c r="N42" s="102">
        <v>3.5</v>
      </c>
    </row>
    <row r="43" spans="1:14" x14ac:dyDescent="0.25">
      <c r="F43" s="57" t="s">
        <v>94</v>
      </c>
      <c r="G43" s="96">
        <f>IF(G32,(G25+N25+U25+AB25+AI25+AP25+AW25+BD25)*G36/G32,0)</f>
        <v>390</v>
      </c>
    </row>
    <row r="44" spans="1:14" x14ac:dyDescent="0.25">
      <c r="F44" s="57"/>
      <c r="G44" s="96"/>
      <c r="M44" s="57" t="s">
        <v>53</v>
      </c>
      <c r="N44" s="102">
        <v>1</v>
      </c>
    </row>
    <row r="45" spans="1:14" x14ac:dyDescent="0.25">
      <c r="F45" s="57" t="s">
        <v>39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51</v>
      </c>
      <c r="N46" s="102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40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195</v>
      </c>
    </row>
    <row r="52" spans="1:7" x14ac:dyDescent="0.25">
      <c r="F52" s="56" t="s">
        <v>96</v>
      </c>
      <c r="G52" s="105">
        <f>+G43/12</f>
        <v>32.5</v>
      </c>
    </row>
    <row r="53" spans="1:7" x14ac:dyDescent="0.25">
      <c r="F53" s="57"/>
      <c r="G53" s="106">
        <f>+G52+G51</f>
        <v>227.5</v>
      </c>
    </row>
    <row r="55" spans="1:7" x14ac:dyDescent="0.25">
      <c r="E55" s="99"/>
      <c r="F55" s="56" t="s">
        <v>100</v>
      </c>
      <c r="G55" s="107">
        <f>+(G51*G38)+(G52*G38)</f>
        <v>1137.5</v>
      </c>
    </row>
  </sheetData>
  <sheetProtection algorithmName="SHA-512" hashValue="fCZb/xCFvJfPGgYRwfJJ9kp7nvsiDiaOKQxHEJWs6bPzky16s4BROZnymGX6e7eF5iaQWbqwoDvn7OnIVAG0Jw==" saltValue="nD61dhr5WcaXIBL1FLmtZQ==" spinCount="100000" sheet="1" objects="1" scenarios="1" formatCells="0" formatColumns="0" formatRows="0" insertColumns="0" insertRows="0" insertHyperlink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91" priority="44">
      <formula>G17=0</formula>
    </cfRule>
  </conditionalFormatting>
  <conditionalFormatting sqref="B25:F25">
    <cfRule type="expression" dxfId="90" priority="43">
      <formula>G17=0</formula>
    </cfRule>
  </conditionalFormatting>
  <conditionalFormatting sqref="F43 F52">
    <cfRule type="expression" dxfId="89" priority="4">
      <formula>$G$43=0</formula>
    </cfRule>
  </conditionalFormatting>
  <conditionalFormatting sqref="G20">
    <cfRule type="expression" dxfId="88" priority="42">
      <formula>G17=0</formula>
    </cfRule>
  </conditionalFormatting>
  <conditionalFormatting sqref="G22">
    <cfRule type="cellIs" dxfId="87" priority="12" operator="between">
      <formula>47</formula>
      <formula>51</formula>
    </cfRule>
  </conditionalFormatting>
  <conditionalFormatting sqref="G25">
    <cfRule type="expression" dxfId="86" priority="41">
      <formula>G17=0</formula>
    </cfRule>
  </conditionalFormatting>
  <conditionalFormatting sqref="G32">
    <cfRule type="cellIs" dxfId="85" priority="46" operator="between">
      <formula>46.9999999999</formula>
      <formula>51.99999</formula>
    </cfRule>
    <cfRule type="cellIs" dxfId="84" priority="45" operator="greaterThanOrEqual">
      <formula>52.0000001</formula>
    </cfRule>
  </conditionalFormatting>
  <conditionalFormatting sqref="G43">
    <cfRule type="cellIs" dxfId="83" priority="3" operator="equal">
      <formula>0</formula>
    </cfRule>
  </conditionalFormatting>
  <conditionalFormatting sqref="G52">
    <cfRule type="cellIs" dxfId="82" priority="2" operator="equal">
      <formula>0</formula>
    </cfRule>
  </conditionalFormatting>
  <conditionalFormatting sqref="G53">
    <cfRule type="expression" dxfId="81" priority="1">
      <formula>$G$52=0</formula>
    </cfRule>
  </conditionalFormatting>
  <conditionalFormatting sqref="I20:M20">
    <cfRule type="expression" dxfId="80" priority="40">
      <formula>N17=0</formula>
    </cfRule>
  </conditionalFormatting>
  <conditionalFormatting sqref="I25:M25">
    <cfRule type="expression" dxfId="79" priority="26">
      <formula>N17=0</formula>
    </cfRule>
  </conditionalFormatting>
  <conditionalFormatting sqref="N20">
    <cfRule type="expression" dxfId="78" priority="39">
      <formula>N17=0</formula>
    </cfRule>
  </conditionalFormatting>
  <conditionalFormatting sqref="N22">
    <cfRule type="cellIs" dxfId="77" priority="11" operator="between">
      <formula>47</formula>
      <formula>51</formula>
    </cfRule>
  </conditionalFormatting>
  <conditionalFormatting sqref="N25">
    <cfRule type="expression" dxfId="76" priority="25">
      <formula>N17=0</formula>
    </cfRule>
  </conditionalFormatting>
  <conditionalFormatting sqref="P20:T20">
    <cfRule type="expression" dxfId="75" priority="38">
      <formula>U17=0</formula>
    </cfRule>
  </conditionalFormatting>
  <conditionalFormatting sqref="P25:T25">
    <cfRule type="expression" dxfId="74" priority="24">
      <formula>U17=0</formula>
    </cfRule>
  </conditionalFormatting>
  <conditionalFormatting sqref="U20">
    <cfRule type="expression" dxfId="73" priority="37">
      <formula>U17=0</formula>
    </cfRule>
  </conditionalFormatting>
  <conditionalFormatting sqref="U22">
    <cfRule type="cellIs" dxfId="72" priority="10" operator="between">
      <formula>47</formula>
      <formula>51</formula>
    </cfRule>
  </conditionalFormatting>
  <conditionalFormatting sqref="U25">
    <cfRule type="expression" dxfId="71" priority="23">
      <formula>U17=0</formula>
    </cfRule>
  </conditionalFormatting>
  <conditionalFormatting sqref="W20:AA20">
    <cfRule type="expression" dxfId="70" priority="36">
      <formula>AB17=0</formula>
    </cfRule>
  </conditionalFormatting>
  <conditionalFormatting sqref="W25:AA25">
    <cfRule type="expression" dxfId="69" priority="22">
      <formula>AB17=0</formula>
    </cfRule>
  </conditionalFormatting>
  <conditionalFormatting sqref="AB20">
    <cfRule type="expression" dxfId="68" priority="35">
      <formula>AB17=0</formula>
    </cfRule>
  </conditionalFormatting>
  <conditionalFormatting sqref="AB22">
    <cfRule type="cellIs" dxfId="67" priority="9" operator="between">
      <formula>47</formula>
      <formula>51</formula>
    </cfRule>
  </conditionalFormatting>
  <conditionalFormatting sqref="AB25">
    <cfRule type="expression" dxfId="66" priority="21">
      <formula>AB17=0</formula>
    </cfRule>
  </conditionalFormatting>
  <conditionalFormatting sqref="AD20:AH20">
    <cfRule type="expression" dxfId="65" priority="34">
      <formula>AI17=0</formula>
    </cfRule>
  </conditionalFormatting>
  <conditionalFormatting sqref="AD25:AH25">
    <cfRule type="expression" dxfId="64" priority="20">
      <formula>AI17=0</formula>
    </cfRule>
  </conditionalFormatting>
  <conditionalFormatting sqref="AI20">
    <cfRule type="expression" dxfId="63" priority="33">
      <formula>AI17=0</formula>
    </cfRule>
  </conditionalFormatting>
  <conditionalFormatting sqref="AI22">
    <cfRule type="cellIs" dxfId="62" priority="8" operator="between">
      <formula>47</formula>
      <formula>51</formula>
    </cfRule>
  </conditionalFormatting>
  <conditionalFormatting sqref="AI25">
    <cfRule type="expression" dxfId="61" priority="19">
      <formula>AI17=0</formula>
    </cfRule>
  </conditionalFormatting>
  <conditionalFormatting sqref="AK20:AO20">
    <cfRule type="expression" dxfId="60" priority="32">
      <formula>AP17=0</formula>
    </cfRule>
  </conditionalFormatting>
  <conditionalFormatting sqref="AK25:AO25">
    <cfRule type="expression" dxfId="59" priority="18">
      <formula>AP17=0</formula>
    </cfRule>
  </conditionalFormatting>
  <conditionalFormatting sqref="AP20">
    <cfRule type="expression" dxfId="58" priority="31">
      <formula>AP17=0</formula>
    </cfRule>
  </conditionalFormatting>
  <conditionalFormatting sqref="AP22">
    <cfRule type="cellIs" dxfId="57" priority="7" operator="between">
      <formula>47</formula>
      <formula>51</formula>
    </cfRule>
  </conditionalFormatting>
  <conditionalFormatting sqref="AP25">
    <cfRule type="expression" dxfId="56" priority="17">
      <formula>AP17=0</formula>
    </cfRule>
  </conditionalFormatting>
  <conditionalFormatting sqref="AR20:AV20">
    <cfRule type="expression" dxfId="55" priority="30">
      <formula>AW17=0</formula>
    </cfRule>
  </conditionalFormatting>
  <conditionalFormatting sqref="AR25:AV25">
    <cfRule type="expression" dxfId="54" priority="16">
      <formula>AW17=0</formula>
    </cfRule>
  </conditionalFormatting>
  <conditionalFormatting sqref="AW20">
    <cfRule type="expression" dxfId="53" priority="29">
      <formula>AW17=0</formula>
    </cfRule>
  </conditionalFormatting>
  <conditionalFormatting sqref="AW22">
    <cfRule type="cellIs" dxfId="52" priority="6" operator="between">
      <formula>47</formula>
      <formula>51</formula>
    </cfRule>
  </conditionalFormatting>
  <conditionalFormatting sqref="AW25">
    <cfRule type="expression" dxfId="51" priority="15">
      <formula>AW17=0</formula>
    </cfRule>
  </conditionalFormatting>
  <conditionalFormatting sqref="AY20:BC20">
    <cfRule type="expression" dxfId="50" priority="28">
      <formula>BD17=0</formula>
    </cfRule>
  </conditionalFormatting>
  <conditionalFormatting sqref="AY25:BC25">
    <cfRule type="expression" dxfId="49" priority="14">
      <formula>BD17=0</formula>
    </cfRule>
  </conditionalFormatting>
  <conditionalFormatting sqref="BD20">
    <cfRule type="expression" dxfId="48" priority="27">
      <formula>BD17=0</formula>
    </cfRule>
  </conditionalFormatting>
  <conditionalFormatting sqref="BD22">
    <cfRule type="cellIs" dxfId="47" priority="5" operator="between">
      <formula>47</formula>
      <formula>51</formula>
    </cfRule>
  </conditionalFormatting>
  <conditionalFormatting sqref="BD25">
    <cfRule type="expression" dxfId="46" priority="13">
      <formula>BD17=0</formula>
    </cfRule>
  </conditionalFormatting>
  <dataValidations count="2">
    <dataValidation errorStyle="information" allowBlank="1" showErrorMessage="1" errorTitle="Ne peut ête supérieure à 52 sem" sqref="G32" xr:uid="{F0088122-48F4-4AA6-9D78-7F4FBE413FB4}"/>
    <dataValidation type="list" allowBlank="1" showInputMessage="1" showErrorMessage="1" sqref="N30" xr:uid="{21F7A3D7-2640-4590-84E0-433A877DA8B8}">
      <formula1>"OUI,NON"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328-49DD-401B-BE8D-27E94E911150}">
  <sheetPr>
    <tabColor theme="2" tint="-0.749992370372631"/>
  </sheetPr>
  <dimension ref="A1:BD55"/>
  <sheetViews>
    <sheetView showGridLines="0" zoomScale="80" zoomScaleNormal="80" workbookViewId="0">
      <selection activeCell="D5" sqref="D5"/>
    </sheetView>
  </sheetViews>
  <sheetFormatPr baseColWidth="10" defaultRowHeight="15" x14ac:dyDescent="0.25"/>
  <cols>
    <col min="1" max="56" width="14.28515625" style="55" customWidth="1"/>
    <col min="57" max="16384" width="11.42578125" style="55"/>
  </cols>
  <sheetData>
    <row r="1" spans="1:56" ht="23.25" x14ac:dyDescent="0.35">
      <c r="A1" s="155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56" x14ac:dyDescent="0.25">
      <c r="K2" s="140" t="s">
        <v>104</v>
      </c>
      <c r="L2" s="140"/>
      <c r="M2" s="140"/>
      <c r="N2" s="140"/>
      <c r="O2" s="140"/>
      <c r="P2" s="140"/>
      <c r="Q2" s="140"/>
    </row>
    <row r="3" spans="1:56" x14ac:dyDescent="0.25">
      <c r="C3" s="57" t="s">
        <v>26</v>
      </c>
      <c r="D3" s="156"/>
      <c r="E3" s="156"/>
      <c r="F3" s="156"/>
      <c r="I3" s="57"/>
    </row>
    <row r="5" spans="1:56" ht="18.75" x14ac:dyDescent="0.3">
      <c r="A5" s="81" t="s">
        <v>24</v>
      </c>
      <c r="C5" s="82" t="s">
        <v>91</v>
      </c>
      <c r="D5" s="61">
        <f ca="1">+IF(D6="",NOW(),D6)</f>
        <v>45684.618809259257</v>
      </c>
      <c r="E5" s="83"/>
      <c r="F5" s="83"/>
    </row>
    <row r="6" spans="1:56" ht="18.75" x14ac:dyDescent="0.3">
      <c r="A6" s="81"/>
      <c r="C6" s="57" t="s">
        <v>92</v>
      </c>
      <c r="D6" s="84"/>
      <c r="E6" s="83"/>
      <c r="F6" s="83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60" t="s">
        <v>12</v>
      </c>
      <c r="I8" s="161"/>
      <c r="J8" s="161"/>
      <c r="K8" s="161"/>
      <c r="L8" s="161"/>
      <c r="M8" s="161"/>
      <c r="N8" s="162"/>
      <c r="O8" s="163" t="s">
        <v>13</v>
      </c>
      <c r="P8" s="164"/>
      <c r="Q8" s="164"/>
      <c r="R8" s="164"/>
      <c r="S8" s="164"/>
      <c r="T8" s="164"/>
      <c r="U8" s="165"/>
      <c r="V8" s="166" t="s">
        <v>14</v>
      </c>
      <c r="W8" s="167"/>
      <c r="X8" s="167"/>
      <c r="Y8" s="167"/>
      <c r="Z8" s="167"/>
      <c r="AA8" s="167"/>
      <c r="AB8" s="168"/>
      <c r="AC8" s="169" t="s">
        <v>15</v>
      </c>
      <c r="AD8" s="170"/>
      <c r="AE8" s="170"/>
      <c r="AF8" s="170"/>
      <c r="AG8" s="170"/>
      <c r="AH8" s="170"/>
      <c r="AI8" s="171"/>
      <c r="AJ8" s="172" t="s">
        <v>16</v>
      </c>
      <c r="AK8" s="173"/>
      <c r="AL8" s="173"/>
      <c r="AM8" s="173"/>
      <c r="AN8" s="173"/>
      <c r="AO8" s="173"/>
      <c r="AP8" s="174"/>
      <c r="AQ8" s="175" t="s">
        <v>17</v>
      </c>
      <c r="AR8" s="176"/>
      <c r="AS8" s="176"/>
      <c r="AT8" s="176"/>
      <c r="AU8" s="176"/>
      <c r="AV8" s="176"/>
      <c r="AW8" s="177"/>
      <c r="AX8" s="178" t="s">
        <v>18</v>
      </c>
      <c r="AY8" s="179"/>
      <c r="AZ8" s="179"/>
      <c r="BA8" s="179"/>
      <c r="BB8" s="179"/>
      <c r="BC8" s="179"/>
      <c r="BD8" s="180"/>
    </row>
    <row r="9" spans="1:56" ht="30" x14ac:dyDescent="0.25">
      <c r="A9" s="85" t="s">
        <v>0</v>
      </c>
      <c r="B9" s="85" t="s">
        <v>56</v>
      </c>
      <c r="C9" s="85" t="s">
        <v>57</v>
      </c>
      <c r="D9" s="85" t="s">
        <v>58</v>
      </c>
      <c r="E9" s="85" t="s">
        <v>59</v>
      </c>
      <c r="F9" s="85" t="s">
        <v>2</v>
      </c>
      <c r="G9" s="85" t="s">
        <v>3</v>
      </c>
      <c r="H9" s="85" t="s">
        <v>0</v>
      </c>
      <c r="I9" s="85" t="s">
        <v>56</v>
      </c>
      <c r="J9" s="85" t="s">
        <v>57</v>
      </c>
      <c r="K9" s="85" t="s">
        <v>58</v>
      </c>
      <c r="L9" s="85" t="s">
        <v>59</v>
      </c>
      <c r="M9" s="85" t="s">
        <v>2</v>
      </c>
      <c r="N9" s="85" t="s">
        <v>3</v>
      </c>
      <c r="O9" s="85" t="s">
        <v>0</v>
      </c>
      <c r="P9" s="85" t="s">
        <v>56</v>
      </c>
      <c r="Q9" s="85" t="s">
        <v>57</v>
      </c>
      <c r="R9" s="85" t="s">
        <v>58</v>
      </c>
      <c r="S9" s="85" t="s">
        <v>59</v>
      </c>
      <c r="T9" s="85" t="s">
        <v>2</v>
      </c>
      <c r="U9" s="85" t="s">
        <v>3</v>
      </c>
      <c r="V9" s="85" t="s">
        <v>0</v>
      </c>
      <c r="W9" s="85" t="s">
        <v>56</v>
      </c>
      <c r="X9" s="85" t="s">
        <v>57</v>
      </c>
      <c r="Y9" s="85" t="s">
        <v>58</v>
      </c>
      <c r="Z9" s="85" t="s">
        <v>59</v>
      </c>
      <c r="AA9" s="85" t="s">
        <v>2</v>
      </c>
      <c r="AB9" s="85" t="s">
        <v>3</v>
      </c>
      <c r="AC9" s="85" t="s">
        <v>0</v>
      </c>
      <c r="AD9" s="85" t="s">
        <v>56</v>
      </c>
      <c r="AE9" s="85" t="s">
        <v>57</v>
      </c>
      <c r="AF9" s="85" t="s">
        <v>58</v>
      </c>
      <c r="AG9" s="85" t="s">
        <v>59</v>
      </c>
      <c r="AH9" s="85" t="s">
        <v>2</v>
      </c>
      <c r="AI9" s="85" t="s">
        <v>3</v>
      </c>
      <c r="AJ9" s="85" t="s">
        <v>0</v>
      </c>
      <c r="AK9" s="85" t="s">
        <v>56</v>
      </c>
      <c r="AL9" s="85" t="s">
        <v>57</v>
      </c>
      <c r="AM9" s="85" t="s">
        <v>58</v>
      </c>
      <c r="AN9" s="85" t="s">
        <v>59</v>
      </c>
      <c r="AO9" s="85" t="s">
        <v>2</v>
      </c>
      <c r="AP9" s="85" t="s">
        <v>3</v>
      </c>
      <c r="AQ9" s="85" t="s">
        <v>0</v>
      </c>
      <c r="AR9" s="85" t="s">
        <v>56</v>
      </c>
      <c r="AS9" s="85" t="s">
        <v>57</v>
      </c>
      <c r="AT9" s="85" t="s">
        <v>58</v>
      </c>
      <c r="AU9" s="85" t="s">
        <v>59</v>
      </c>
      <c r="AV9" s="85" t="s">
        <v>2</v>
      </c>
      <c r="AW9" s="85" t="s">
        <v>3</v>
      </c>
      <c r="AX9" s="85" t="s">
        <v>0</v>
      </c>
      <c r="AY9" s="85" t="s">
        <v>56</v>
      </c>
      <c r="AZ9" s="85" t="s">
        <v>57</v>
      </c>
      <c r="BA9" s="85" t="s">
        <v>58</v>
      </c>
      <c r="BB9" s="85" t="s">
        <v>59</v>
      </c>
      <c r="BC9" s="85" t="s">
        <v>2</v>
      </c>
      <c r="BD9" s="85" t="s">
        <v>3</v>
      </c>
    </row>
    <row r="10" spans="1:56" x14ac:dyDescent="0.25">
      <c r="A10" s="86" t="s">
        <v>4</v>
      </c>
      <c r="B10" s="87">
        <v>0.29166666666666669</v>
      </c>
      <c r="C10" s="87">
        <v>0.35416666666666669</v>
      </c>
      <c r="D10" s="87">
        <v>0.6875</v>
      </c>
      <c r="E10" s="87">
        <v>0.79166666666666663</v>
      </c>
      <c r="F10" s="88">
        <f t="shared" ref="F10:F16" si="0">+C10-B10+E10-D10</f>
        <v>0.16666666666666663</v>
      </c>
      <c r="G10" s="89">
        <f t="shared" ref="G10:G16" si="1">ROUND(+F10*24,2)</f>
        <v>4</v>
      </c>
      <c r="H10" s="86" t="s">
        <v>4</v>
      </c>
      <c r="I10" s="87">
        <v>0.33333333333333331</v>
      </c>
      <c r="J10" s="87">
        <v>0.75</v>
      </c>
      <c r="K10" s="87"/>
      <c r="L10" s="87"/>
      <c r="M10" s="88">
        <f>+J10-I10+L10-K10</f>
        <v>0.41666666666666669</v>
      </c>
      <c r="N10" s="89">
        <f>ROUND(+M10*24,2)</f>
        <v>10</v>
      </c>
      <c r="O10" s="86" t="s">
        <v>4</v>
      </c>
      <c r="P10" s="87"/>
      <c r="Q10" s="87"/>
      <c r="R10" s="87"/>
      <c r="S10" s="87"/>
      <c r="T10" s="88">
        <f>+Q10-P10+S10-R10</f>
        <v>0</v>
      </c>
      <c r="U10" s="89">
        <f>ROUND(+T10*24,2)</f>
        <v>0</v>
      </c>
      <c r="V10" s="86" t="s">
        <v>4</v>
      </c>
      <c r="W10" s="87"/>
      <c r="X10" s="87"/>
      <c r="Y10" s="87"/>
      <c r="Z10" s="87"/>
      <c r="AA10" s="88">
        <f>+X10-W10+Z10-Y10</f>
        <v>0</v>
      </c>
      <c r="AB10" s="89">
        <f>ROUND(+AA10*24,2)</f>
        <v>0</v>
      </c>
      <c r="AC10" s="86" t="s">
        <v>4</v>
      </c>
      <c r="AD10" s="87"/>
      <c r="AE10" s="87"/>
      <c r="AF10" s="87"/>
      <c r="AG10" s="87"/>
      <c r="AH10" s="88">
        <f>+AE10-AD10+AG10-AF10</f>
        <v>0</v>
      </c>
      <c r="AI10" s="89">
        <f>ROUND(+AH10*24,2)</f>
        <v>0</v>
      </c>
      <c r="AJ10" s="86" t="s">
        <v>4</v>
      </c>
      <c r="AK10" s="87"/>
      <c r="AL10" s="87"/>
      <c r="AM10" s="87"/>
      <c r="AN10" s="87"/>
      <c r="AO10" s="88">
        <f>+AL10-AK10+AN10-AM10</f>
        <v>0</v>
      </c>
      <c r="AP10" s="89">
        <f>ROUND(+AO10*24,2)</f>
        <v>0</v>
      </c>
      <c r="AQ10" s="86" t="s">
        <v>4</v>
      </c>
      <c r="AR10" s="87"/>
      <c r="AS10" s="87"/>
      <c r="AT10" s="87"/>
      <c r="AU10" s="87"/>
      <c r="AV10" s="88">
        <f>+AS10-AR10+AU10-AT10</f>
        <v>0</v>
      </c>
      <c r="AW10" s="89">
        <f>ROUND(+AV10*24,2)</f>
        <v>0</v>
      </c>
      <c r="AX10" s="86" t="s">
        <v>4</v>
      </c>
      <c r="AY10" s="87"/>
      <c r="AZ10" s="87"/>
      <c r="BA10" s="87"/>
      <c r="BB10" s="87"/>
      <c r="BC10" s="88">
        <f>+AZ10-AY10+BB10-BA10</f>
        <v>0</v>
      </c>
      <c r="BD10" s="89">
        <f>ROUND(+BC10*24,2)</f>
        <v>0</v>
      </c>
    </row>
    <row r="11" spans="1:56" x14ac:dyDescent="0.25">
      <c r="A11" s="86" t="s">
        <v>5</v>
      </c>
      <c r="B11" s="87">
        <v>0.29166666666666669</v>
      </c>
      <c r="C11" s="87">
        <v>0.35416666666666669</v>
      </c>
      <c r="D11" s="87">
        <v>0.6875</v>
      </c>
      <c r="E11" s="87">
        <v>0.79166666666666663</v>
      </c>
      <c r="F11" s="88">
        <f t="shared" si="0"/>
        <v>0.16666666666666663</v>
      </c>
      <c r="G11" s="89">
        <f t="shared" si="1"/>
        <v>4</v>
      </c>
      <c r="H11" s="86" t="s">
        <v>5</v>
      </c>
      <c r="I11" s="87">
        <v>0.33333333333333331</v>
      </c>
      <c r="J11" s="87">
        <v>0.75</v>
      </c>
      <c r="K11" s="87"/>
      <c r="L11" s="87"/>
      <c r="M11" s="88">
        <f t="shared" ref="M11:M16" si="2">+J11-I11+L11-K11</f>
        <v>0.41666666666666669</v>
      </c>
      <c r="N11" s="89">
        <f t="shared" ref="N11:N16" si="3">ROUND(+M11*24,2)</f>
        <v>10</v>
      </c>
      <c r="O11" s="86" t="s">
        <v>5</v>
      </c>
      <c r="P11" s="87"/>
      <c r="Q11" s="87"/>
      <c r="R11" s="87"/>
      <c r="S11" s="87"/>
      <c r="T11" s="88">
        <f t="shared" ref="T11:T16" si="4">+Q11-P11+S11-R11</f>
        <v>0</v>
      </c>
      <c r="U11" s="89">
        <f t="shared" ref="U11:U16" si="5">ROUND(+T11*24,2)</f>
        <v>0</v>
      </c>
      <c r="V11" s="86" t="s">
        <v>5</v>
      </c>
      <c r="W11" s="87"/>
      <c r="X11" s="87"/>
      <c r="Y11" s="87"/>
      <c r="Z11" s="87"/>
      <c r="AA11" s="88">
        <f t="shared" ref="AA11:AA16" si="6">+X11-W11+Z11-Y11</f>
        <v>0</v>
      </c>
      <c r="AB11" s="89">
        <f t="shared" ref="AB11:AB16" si="7">ROUND(+AA11*24,2)</f>
        <v>0</v>
      </c>
      <c r="AC11" s="86" t="s">
        <v>5</v>
      </c>
      <c r="AD11" s="87"/>
      <c r="AE11" s="87"/>
      <c r="AF11" s="87"/>
      <c r="AG11" s="87"/>
      <c r="AH11" s="88">
        <f t="shared" ref="AH11:AH16" si="8">+AE11-AD11+AG11-AF11</f>
        <v>0</v>
      </c>
      <c r="AI11" s="89">
        <f t="shared" ref="AI11:AI16" si="9">ROUND(+AH11*24,2)</f>
        <v>0</v>
      </c>
      <c r="AJ11" s="86" t="s">
        <v>5</v>
      </c>
      <c r="AK11" s="87"/>
      <c r="AL11" s="87"/>
      <c r="AM11" s="87"/>
      <c r="AN11" s="87"/>
      <c r="AO11" s="88">
        <f t="shared" ref="AO11:AO16" si="10">+AL11-AK11+AN11-AM11</f>
        <v>0</v>
      </c>
      <c r="AP11" s="89">
        <f t="shared" ref="AP11:AP16" si="11">ROUND(+AO11*24,2)</f>
        <v>0</v>
      </c>
      <c r="AQ11" s="86" t="s">
        <v>5</v>
      </c>
      <c r="AR11" s="87"/>
      <c r="AS11" s="87"/>
      <c r="AT11" s="87"/>
      <c r="AU11" s="87"/>
      <c r="AV11" s="88">
        <f t="shared" ref="AV11:AV16" si="12">+AS11-AR11+AU11-AT11</f>
        <v>0</v>
      </c>
      <c r="AW11" s="89">
        <f t="shared" ref="AW11:AW16" si="13">ROUND(+AV11*24,2)</f>
        <v>0</v>
      </c>
      <c r="AX11" s="86" t="s">
        <v>5</v>
      </c>
      <c r="AY11" s="87"/>
      <c r="AZ11" s="87"/>
      <c r="BA11" s="87"/>
      <c r="BB11" s="87"/>
      <c r="BC11" s="88">
        <f t="shared" ref="BC11:BC16" si="14">+AZ11-AY11+BB11-BA11</f>
        <v>0</v>
      </c>
      <c r="BD11" s="89">
        <f t="shared" ref="BD11:BD16" si="15">ROUND(+BC11*24,2)</f>
        <v>0</v>
      </c>
    </row>
    <row r="12" spans="1:56" x14ac:dyDescent="0.25">
      <c r="A12" s="86" t="s">
        <v>6</v>
      </c>
      <c r="B12" s="87">
        <v>0.33333333333333331</v>
      </c>
      <c r="C12" s="87">
        <v>0.75</v>
      </c>
      <c r="D12" s="87"/>
      <c r="E12" s="87"/>
      <c r="F12" s="88">
        <f t="shared" si="0"/>
        <v>0.41666666666666669</v>
      </c>
      <c r="G12" s="89">
        <f t="shared" si="1"/>
        <v>10</v>
      </c>
      <c r="H12" s="86" t="s">
        <v>6</v>
      </c>
      <c r="I12" s="87">
        <v>0.33333333333333331</v>
      </c>
      <c r="J12" s="87">
        <v>0.75</v>
      </c>
      <c r="K12" s="87"/>
      <c r="L12" s="87"/>
      <c r="M12" s="88">
        <f t="shared" si="2"/>
        <v>0.41666666666666669</v>
      </c>
      <c r="N12" s="89">
        <f t="shared" si="3"/>
        <v>10</v>
      </c>
      <c r="O12" s="86" t="s">
        <v>6</v>
      </c>
      <c r="P12" s="87"/>
      <c r="Q12" s="87"/>
      <c r="R12" s="87"/>
      <c r="S12" s="87"/>
      <c r="T12" s="88">
        <f t="shared" si="4"/>
        <v>0</v>
      </c>
      <c r="U12" s="89">
        <f t="shared" si="5"/>
        <v>0</v>
      </c>
      <c r="V12" s="86" t="s">
        <v>6</v>
      </c>
      <c r="W12" s="87"/>
      <c r="X12" s="87"/>
      <c r="Y12" s="87"/>
      <c r="Z12" s="87"/>
      <c r="AA12" s="88">
        <f t="shared" si="6"/>
        <v>0</v>
      </c>
      <c r="AB12" s="89">
        <f t="shared" si="7"/>
        <v>0</v>
      </c>
      <c r="AC12" s="86" t="s">
        <v>6</v>
      </c>
      <c r="AD12" s="87"/>
      <c r="AE12" s="87"/>
      <c r="AF12" s="87"/>
      <c r="AG12" s="87"/>
      <c r="AH12" s="88">
        <f t="shared" si="8"/>
        <v>0</v>
      </c>
      <c r="AI12" s="89">
        <f t="shared" si="9"/>
        <v>0</v>
      </c>
      <c r="AJ12" s="86" t="s">
        <v>6</v>
      </c>
      <c r="AK12" s="87"/>
      <c r="AL12" s="87"/>
      <c r="AM12" s="87"/>
      <c r="AN12" s="87"/>
      <c r="AO12" s="88">
        <f t="shared" si="10"/>
        <v>0</v>
      </c>
      <c r="AP12" s="89">
        <f t="shared" si="11"/>
        <v>0</v>
      </c>
      <c r="AQ12" s="86" t="s">
        <v>6</v>
      </c>
      <c r="AR12" s="87"/>
      <c r="AS12" s="87"/>
      <c r="AT12" s="87"/>
      <c r="AU12" s="87"/>
      <c r="AV12" s="88">
        <f t="shared" si="12"/>
        <v>0</v>
      </c>
      <c r="AW12" s="89">
        <f t="shared" si="13"/>
        <v>0</v>
      </c>
      <c r="AX12" s="86" t="s">
        <v>6</v>
      </c>
      <c r="AY12" s="87"/>
      <c r="AZ12" s="87"/>
      <c r="BA12" s="87"/>
      <c r="BB12" s="87"/>
      <c r="BC12" s="88">
        <f t="shared" si="14"/>
        <v>0</v>
      </c>
      <c r="BD12" s="89">
        <f t="shared" si="15"/>
        <v>0</v>
      </c>
    </row>
    <row r="13" spans="1:56" x14ac:dyDescent="0.25">
      <c r="A13" s="86" t="s">
        <v>7</v>
      </c>
      <c r="B13" s="87">
        <v>0.29166666666666669</v>
      </c>
      <c r="C13" s="87">
        <v>0.35416666666666669</v>
      </c>
      <c r="D13" s="87">
        <v>0.6875</v>
      </c>
      <c r="E13" s="87">
        <v>0.79166666666666663</v>
      </c>
      <c r="F13" s="88">
        <f t="shared" si="0"/>
        <v>0.16666666666666663</v>
      </c>
      <c r="G13" s="89">
        <f t="shared" si="1"/>
        <v>4</v>
      </c>
      <c r="H13" s="86" t="s">
        <v>7</v>
      </c>
      <c r="I13" s="87">
        <v>0.33333333333333331</v>
      </c>
      <c r="J13" s="87">
        <v>0.75</v>
      </c>
      <c r="K13" s="87"/>
      <c r="L13" s="87"/>
      <c r="M13" s="88">
        <f t="shared" si="2"/>
        <v>0.41666666666666669</v>
      </c>
      <c r="N13" s="89">
        <f t="shared" si="3"/>
        <v>10</v>
      </c>
      <c r="O13" s="86" t="s">
        <v>7</v>
      </c>
      <c r="P13" s="87"/>
      <c r="Q13" s="87"/>
      <c r="R13" s="87"/>
      <c r="S13" s="87"/>
      <c r="T13" s="88">
        <f t="shared" si="4"/>
        <v>0</v>
      </c>
      <c r="U13" s="89">
        <f t="shared" si="5"/>
        <v>0</v>
      </c>
      <c r="V13" s="86" t="s">
        <v>7</v>
      </c>
      <c r="W13" s="87"/>
      <c r="X13" s="87"/>
      <c r="Y13" s="87"/>
      <c r="Z13" s="87"/>
      <c r="AA13" s="88">
        <f t="shared" si="6"/>
        <v>0</v>
      </c>
      <c r="AB13" s="89">
        <f t="shared" si="7"/>
        <v>0</v>
      </c>
      <c r="AC13" s="86" t="s">
        <v>7</v>
      </c>
      <c r="AD13" s="87"/>
      <c r="AE13" s="87"/>
      <c r="AF13" s="87"/>
      <c r="AG13" s="87"/>
      <c r="AH13" s="88">
        <f t="shared" si="8"/>
        <v>0</v>
      </c>
      <c r="AI13" s="89">
        <f t="shared" si="9"/>
        <v>0</v>
      </c>
      <c r="AJ13" s="86" t="s">
        <v>7</v>
      </c>
      <c r="AK13" s="87"/>
      <c r="AL13" s="87"/>
      <c r="AM13" s="87"/>
      <c r="AN13" s="87"/>
      <c r="AO13" s="88">
        <f t="shared" si="10"/>
        <v>0</v>
      </c>
      <c r="AP13" s="89">
        <f t="shared" si="11"/>
        <v>0</v>
      </c>
      <c r="AQ13" s="86" t="s">
        <v>7</v>
      </c>
      <c r="AR13" s="87"/>
      <c r="AS13" s="87"/>
      <c r="AT13" s="87"/>
      <c r="AU13" s="87"/>
      <c r="AV13" s="88">
        <f t="shared" si="12"/>
        <v>0</v>
      </c>
      <c r="AW13" s="89">
        <f t="shared" si="13"/>
        <v>0</v>
      </c>
      <c r="AX13" s="86" t="s">
        <v>7</v>
      </c>
      <c r="AY13" s="87"/>
      <c r="AZ13" s="87"/>
      <c r="BA13" s="87"/>
      <c r="BB13" s="87"/>
      <c r="BC13" s="88">
        <f t="shared" si="14"/>
        <v>0</v>
      </c>
      <c r="BD13" s="89">
        <f t="shared" si="15"/>
        <v>0</v>
      </c>
    </row>
    <row r="14" spans="1:56" x14ac:dyDescent="0.25">
      <c r="A14" s="86" t="s">
        <v>8</v>
      </c>
      <c r="B14" s="87">
        <v>0.29166666666666669</v>
      </c>
      <c r="C14" s="87">
        <v>0.35416666666666669</v>
      </c>
      <c r="D14" s="87">
        <v>0.6875</v>
      </c>
      <c r="E14" s="87">
        <v>0.79166666666666663</v>
      </c>
      <c r="F14" s="88">
        <f t="shared" si="0"/>
        <v>0.16666666666666663</v>
      </c>
      <c r="G14" s="89">
        <f t="shared" si="1"/>
        <v>4</v>
      </c>
      <c r="H14" s="86" t="s">
        <v>8</v>
      </c>
      <c r="I14" s="87">
        <v>0.33333333333333331</v>
      </c>
      <c r="J14" s="87">
        <v>0.75</v>
      </c>
      <c r="K14" s="87"/>
      <c r="L14" s="87"/>
      <c r="M14" s="88">
        <f t="shared" si="2"/>
        <v>0.41666666666666669</v>
      </c>
      <c r="N14" s="89">
        <f t="shared" si="3"/>
        <v>10</v>
      </c>
      <c r="O14" s="86" t="s">
        <v>8</v>
      </c>
      <c r="P14" s="87"/>
      <c r="Q14" s="87"/>
      <c r="R14" s="87"/>
      <c r="S14" s="87"/>
      <c r="T14" s="88">
        <f t="shared" si="4"/>
        <v>0</v>
      </c>
      <c r="U14" s="89">
        <f t="shared" si="5"/>
        <v>0</v>
      </c>
      <c r="V14" s="86" t="s">
        <v>8</v>
      </c>
      <c r="W14" s="87"/>
      <c r="X14" s="87"/>
      <c r="Y14" s="87"/>
      <c r="Z14" s="87"/>
      <c r="AA14" s="88">
        <f t="shared" si="6"/>
        <v>0</v>
      </c>
      <c r="AB14" s="89">
        <f t="shared" si="7"/>
        <v>0</v>
      </c>
      <c r="AC14" s="86" t="s">
        <v>8</v>
      </c>
      <c r="AD14" s="87"/>
      <c r="AE14" s="87"/>
      <c r="AF14" s="87"/>
      <c r="AG14" s="87"/>
      <c r="AH14" s="88">
        <f t="shared" si="8"/>
        <v>0</v>
      </c>
      <c r="AI14" s="89">
        <f t="shared" si="9"/>
        <v>0</v>
      </c>
      <c r="AJ14" s="86" t="s">
        <v>8</v>
      </c>
      <c r="AK14" s="87"/>
      <c r="AL14" s="87"/>
      <c r="AM14" s="87"/>
      <c r="AN14" s="87"/>
      <c r="AO14" s="88">
        <f t="shared" si="10"/>
        <v>0</v>
      </c>
      <c r="AP14" s="89">
        <f t="shared" si="11"/>
        <v>0</v>
      </c>
      <c r="AQ14" s="86" t="s">
        <v>8</v>
      </c>
      <c r="AR14" s="87"/>
      <c r="AS14" s="87"/>
      <c r="AT14" s="87"/>
      <c r="AU14" s="87"/>
      <c r="AV14" s="88">
        <f t="shared" si="12"/>
        <v>0</v>
      </c>
      <c r="AW14" s="89">
        <f t="shared" si="13"/>
        <v>0</v>
      </c>
      <c r="AX14" s="86" t="s">
        <v>8</v>
      </c>
      <c r="AY14" s="87"/>
      <c r="AZ14" s="87"/>
      <c r="BA14" s="87"/>
      <c r="BB14" s="87"/>
      <c r="BC14" s="88">
        <f t="shared" si="14"/>
        <v>0</v>
      </c>
      <c r="BD14" s="89">
        <f t="shared" si="15"/>
        <v>0</v>
      </c>
    </row>
    <row r="15" spans="1:56" x14ac:dyDescent="0.25">
      <c r="A15" s="86" t="s">
        <v>9</v>
      </c>
      <c r="B15" s="87"/>
      <c r="C15" s="87"/>
      <c r="D15" s="87"/>
      <c r="E15" s="87"/>
      <c r="F15" s="88">
        <f t="shared" si="0"/>
        <v>0</v>
      </c>
      <c r="G15" s="89">
        <f t="shared" si="1"/>
        <v>0</v>
      </c>
      <c r="H15" s="86" t="s">
        <v>9</v>
      </c>
      <c r="I15" s="87"/>
      <c r="J15" s="87"/>
      <c r="K15" s="87"/>
      <c r="L15" s="87"/>
      <c r="M15" s="88">
        <f t="shared" si="2"/>
        <v>0</v>
      </c>
      <c r="N15" s="89">
        <f t="shared" si="3"/>
        <v>0</v>
      </c>
      <c r="O15" s="86" t="s">
        <v>9</v>
      </c>
      <c r="P15" s="87"/>
      <c r="Q15" s="87"/>
      <c r="R15" s="87"/>
      <c r="S15" s="87"/>
      <c r="T15" s="88">
        <f t="shared" si="4"/>
        <v>0</v>
      </c>
      <c r="U15" s="89">
        <f t="shared" si="5"/>
        <v>0</v>
      </c>
      <c r="V15" s="86" t="s">
        <v>9</v>
      </c>
      <c r="W15" s="87"/>
      <c r="X15" s="87"/>
      <c r="Y15" s="87"/>
      <c r="Z15" s="87"/>
      <c r="AA15" s="88">
        <f t="shared" si="6"/>
        <v>0</v>
      </c>
      <c r="AB15" s="89">
        <f t="shared" si="7"/>
        <v>0</v>
      </c>
      <c r="AC15" s="86" t="s">
        <v>9</v>
      </c>
      <c r="AD15" s="87"/>
      <c r="AE15" s="87"/>
      <c r="AF15" s="87"/>
      <c r="AG15" s="87"/>
      <c r="AH15" s="88">
        <f t="shared" si="8"/>
        <v>0</v>
      </c>
      <c r="AI15" s="89">
        <f t="shared" si="9"/>
        <v>0</v>
      </c>
      <c r="AJ15" s="86" t="s">
        <v>9</v>
      </c>
      <c r="AK15" s="87"/>
      <c r="AL15" s="87"/>
      <c r="AM15" s="87"/>
      <c r="AN15" s="87"/>
      <c r="AO15" s="88">
        <f t="shared" si="10"/>
        <v>0</v>
      </c>
      <c r="AP15" s="89">
        <f t="shared" si="11"/>
        <v>0</v>
      </c>
      <c r="AQ15" s="86" t="s">
        <v>9</v>
      </c>
      <c r="AR15" s="87"/>
      <c r="AS15" s="87"/>
      <c r="AT15" s="87"/>
      <c r="AU15" s="87"/>
      <c r="AV15" s="88">
        <f t="shared" si="12"/>
        <v>0</v>
      </c>
      <c r="AW15" s="89">
        <f t="shared" si="13"/>
        <v>0</v>
      </c>
      <c r="AX15" s="86" t="s">
        <v>9</v>
      </c>
      <c r="AY15" s="87"/>
      <c r="AZ15" s="87"/>
      <c r="BA15" s="87"/>
      <c r="BB15" s="87"/>
      <c r="BC15" s="88">
        <f t="shared" si="14"/>
        <v>0</v>
      </c>
      <c r="BD15" s="89">
        <f t="shared" si="15"/>
        <v>0</v>
      </c>
    </row>
    <row r="16" spans="1:56" x14ac:dyDescent="0.25">
      <c r="A16" s="86" t="s">
        <v>10</v>
      </c>
      <c r="B16" s="87"/>
      <c r="C16" s="87"/>
      <c r="D16" s="87"/>
      <c r="E16" s="87"/>
      <c r="F16" s="88">
        <f t="shared" si="0"/>
        <v>0</v>
      </c>
      <c r="G16" s="89">
        <f t="shared" si="1"/>
        <v>0</v>
      </c>
      <c r="H16" s="86" t="s">
        <v>10</v>
      </c>
      <c r="I16" s="87"/>
      <c r="J16" s="87"/>
      <c r="K16" s="87"/>
      <c r="L16" s="87"/>
      <c r="M16" s="88">
        <f t="shared" si="2"/>
        <v>0</v>
      </c>
      <c r="N16" s="89">
        <f t="shared" si="3"/>
        <v>0</v>
      </c>
      <c r="O16" s="86" t="s">
        <v>10</v>
      </c>
      <c r="P16" s="87"/>
      <c r="Q16" s="87"/>
      <c r="R16" s="87"/>
      <c r="S16" s="87"/>
      <c r="T16" s="88">
        <f t="shared" si="4"/>
        <v>0</v>
      </c>
      <c r="U16" s="89">
        <f t="shared" si="5"/>
        <v>0</v>
      </c>
      <c r="V16" s="86" t="s">
        <v>10</v>
      </c>
      <c r="W16" s="87"/>
      <c r="X16" s="87"/>
      <c r="Y16" s="87"/>
      <c r="Z16" s="87"/>
      <c r="AA16" s="88">
        <f t="shared" si="6"/>
        <v>0</v>
      </c>
      <c r="AB16" s="89">
        <f t="shared" si="7"/>
        <v>0</v>
      </c>
      <c r="AC16" s="86" t="s">
        <v>10</v>
      </c>
      <c r="AD16" s="87"/>
      <c r="AE16" s="87"/>
      <c r="AF16" s="87"/>
      <c r="AG16" s="87"/>
      <c r="AH16" s="88">
        <f t="shared" si="8"/>
        <v>0</v>
      </c>
      <c r="AI16" s="89">
        <f t="shared" si="9"/>
        <v>0</v>
      </c>
      <c r="AJ16" s="86" t="s">
        <v>10</v>
      </c>
      <c r="AK16" s="87"/>
      <c r="AL16" s="87"/>
      <c r="AM16" s="87"/>
      <c r="AN16" s="87"/>
      <c r="AO16" s="88">
        <f t="shared" si="10"/>
        <v>0</v>
      </c>
      <c r="AP16" s="89">
        <f t="shared" si="11"/>
        <v>0</v>
      </c>
      <c r="AQ16" s="86" t="s">
        <v>10</v>
      </c>
      <c r="AR16" s="87"/>
      <c r="AS16" s="87"/>
      <c r="AT16" s="87"/>
      <c r="AU16" s="87"/>
      <c r="AV16" s="88">
        <f t="shared" si="12"/>
        <v>0</v>
      </c>
      <c r="AW16" s="89">
        <f t="shared" si="13"/>
        <v>0</v>
      </c>
      <c r="AX16" s="86" t="s">
        <v>10</v>
      </c>
      <c r="AY16" s="87"/>
      <c r="AZ16" s="87"/>
      <c r="BA16" s="87"/>
      <c r="BB16" s="87"/>
      <c r="BC16" s="88">
        <f t="shared" si="14"/>
        <v>0</v>
      </c>
      <c r="BD16" s="89">
        <f t="shared" si="15"/>
        <v>0</v>
      </c>
    </row>
    <row r="17" spans="1:56" x14ac:dyDescent="0.25">
      <c r="B17" s="90"/>
      <c r="C17" s="90"/>
      <c r="D17" s="90"/>
      <c r="E17" s="90"/>
      <c r="F17" s="86" t="s">
        <v>46</v>
      </c>
      <c r="G17" s="89">
        <f>SUM(G10:G16)</f>
        <v>26</v>
      </c>
      <c r="I17" s="90"/>
      <c r="J17" s="90"/>
      <c r="K17" s="90"/>
      <c r="L17" s="90"/>
      <c r="M17" s="86" t="s">
        <v>46</v>
      </c>
      <c r="N17" s="89">
        <f>SUM(N10:N16)</f>
        <v>50</v>
      </c>
      <c r="P17" s="90"/>
      <c r="Q17" s="90"/>
      <c r="R17" s="90"/>
      <c r="S17" s="90"/>
      <c r="T17" s="86" t="s">
        <v>46</v>
      </c>
      <c r="U17" s="89">
        <f>SUM(U10:U16)</f>
        <v>0</v>
      </c>
      <c r="W17" s="90"/>
      <c r="X17" s="90"/>
      <c r="Y17" s="90"/>
      <c r="Z17" s="90"/>
      <c r="AA17" s="86" t="s">
        <v>46</v>
      </c>
      <c r="AB17" s="89">
        <f>SUM(AB10:AB16)</f>
        <v>0</v>
      </c>
      <c r="AD17" s="90"/>
      <c r="AE17" s="90"/>
      <c r="AF17" s="90"/>
      <c r="AG17" s="90"/>
      <c r="AH17" s="86" t="s">
        <v>46</v>
      </c>
      <c r="AI17" s="89">
        <f>SUM(AI10:AI16)</f>
        <v>0</v>
      </c>
      <c r="AK17" s="90"/>
      <c r="AL17" s="90"/>
      <c r="AM17" s="90"/>
      <c r="AN17" s="90"/>
      <c r="AO17" s="86" t="s">
        <v>46</v>
      </c>
      <c r="AP17" s="89">
        <f>SUM(AP10:AP16)</f>
        <v>0</v>
      </c>
      <c r="AR17" s="90"/>
      <c r="AS17" s="90"/>
      <c r="AT17" s="90"/>
      <c r="AU17" s="90"/>
      <c r="AV17" s="86" t="s">
        <v>46</v>
      </c>
      <c r="AW17" s="89">
        <f>SUM(AW10:AW16)</f>
        <v>0</v>
      </c>
      <c r="AY17" s="90"/>
      <c r="AZ17" s="90"/>
      <c r="BA17" s="90"/>
      <c r="BB17" s="90"/>
      <c r="BC17" s="86" t="s">
        <v>46</v>
      </c>
      <c r="BD17" s="89">
        <f>SUM(BD10:BD16)</f>
        <v>0</v>
      </c>
    </row>
    <row r="19" spans="1:56" x14ac:dyDescent="0.25">
      <c r="B19" s="181" t="str">
        <f>+IF(K17=0,"Nombre d'heures :","Nombre d'heures (Inf. ou égales à 45 hrs / sem) :")</f>
        <v>Nombre d'heures :</v>
      </c>
      <c r="C19" s="182"/>
      <c r="D19" s="182"/>
      <c r="E19" s="182"/>
      <c r="F19" s="183"/>
      <c r="G19" s="91">
        <f>+IF(G17&gt;=45,45,G17)</f>
        <v>26</v>
      </c>
      <c r="I19" s="181" t="str">
        <f>+IF(R17=0,"Nombre d'heures :","Nombre d'heures (Inf. ou égales à 45 hrs / sem) :")</f>
        <v>Nombre d'heures :</v>
      </c>
      <c r="J19" s="182"/>
      <c r="K19" s="182"/>
      <c r="L19" s="182"/>
      <c r="M19" s="183"/>
      <c r="N19" s="91">
        <f>+IF(N17&gt;=45,45,N17)</f>
        <v>45</v>
      </c>
      <c r="P19" s="181" t="str">
        <f>+IF(Y17=0,"Nombre d'heures :","Nombre d'heures (Inf. ou égales à 45 hrs / sem) :")</f>
        <v>Nombre d'heures :</v>
      </c>
      <c r="Q19" s="182"/>
      <c r="R19" s="182"/>
      <c r="S19" s="182"/>
      <c r="T19" s="183"/>
      <c r="U19" s="91">
        <f>+IF(U17&gt;=45,45,U17)</f>
        <v>0</v>
      </c>
      <c r="W19" s="181" t="str">
        <f>+IF(AF17=0,"Nombre d'heures :","Nombre d'heures (Inf. ou égales à 45 hrs / sem) :")</f>
        <v>Nombre d'heures :</v>
      </c>
      <c r="X19" s="182"/>
      <c r="Y19" s="182"/>
      <c r="Z19" s="182"/>
      <c r="AA19" s="183"/>
      <c r="AB19" s="91">
        <f>+IF(AB17&gt;=45,45,AB17)</f>
        <v>0</v>
      </c>
      <c r="AD19" s="181" t="str">
        <f>+IF(AM17=0,"Nombre d'heures :","Nombre d'heures (Inf. ou égales à 45 hrs / sem) :")</f>
        <v>Nombre d'heures :</v>
      </c>
      <c r="AE19" s="182"/>
      <c r="AF19" s="182"/>
      <c r="AG19" s="182"/>
      <c r="AH19" s="183"/>
      <c r="AI19" s="91">
        <f>+IF(AI17&gt;=45,45,AI17)</f>
        <v>0</v>
      </c>
      <c r="AK19" s="181" t="str">
        <f>+IF(AT17=0,"Nombre d'heures :","Nombre d'heures (Inf. ou égales à 45 hrs / sem) :")</f>
        <v>Nombre d'heures :</v>
      </c>
      <c r="AL19" s="182"/>
      <c r="AM19" s="182"/>
      <c r="AN19" s="182"/>
      <c r="AO19" s="183"/>
      <c r="AP19" s="91">
        <f>+IF(AP17&gt;=45,45,AP17)</f>
        <v>0</v>
      </c>
      <c r="AR19" s="181" t="str">
        <f>+IF(BA17=0,"Nombre d'heures :","Nombre d'heures (Inf. ou égales à 45 hrs / sem) :")</f>
        <v>Nombre d'heures :</v>
      </c>
      <c r="AS19" s="182"/>
      <c r="AT19" s="182"/>
      <c r="AU19" s="182"/>
      <c r="AV19" s="183"/>
      <c r="AW19" s="91">
        <f>+IF(AW17&gt;=45,45,AW17)</f>
        <v>0</v>
      </c>
      <c r="AY19" s="181" t="str">
        <f>+IF(BH17=0,"Nombre d'heures :","Nombre d'heures (Inf. ou égales à 45 hrs / sem) :")</f>
        <v>Nombre d'heures :</v>
      </c>
      <c r="AZ19" s="182"/>
      <c r="BA19" s="182"/>
      <c r="BB19" s="182"/>
      <c r="BC19" s="183"/>
      <c r="BD19" s="91">
        <f>+IF(BD17&gt;=45,45,BD17)</f>
        <v>0</v>
      </c>
    </row>
    <row r="20" spans="1:56" x14ac:dyDescent="0.25">
      <c r="B20" s="181" t="s">
        <v>93</v>
      </c>
      <c r="C20" s="182"/>
      <c r="D20" s="182"/>
      <c r="E20" s="182"/>
      <c r="F20" s="183"/>
      <c r="G20" s="91">
        <f>+IF(G17&gt;45,G17-45,0)</f>
        <v>0</v>
      </c>
      <c r="I20" s="181" t="s">
        <v>93</v>
      </c>
      <c r="J20" s="182"/>
      <c r="K20" s="182"/>
      <c r="L20" s="182"/>
      <c r="M20" s="183"/>
      <c r="N20" s="91">
        <f>+IF(N17&gt;45,N17-45,0)</f>
        <v>5</v>
      </c>
      <c r="P20" s="181" t="s">
        <v>93</v>
      </c>
      <c r="Q20" s="182"/>
      <c r="R20" s="182"/>
      <c r="S20" s="182"/>
      <c r="T20" s="183"/>
      <c r="U20" s="91">
        <f>+IF(U17&gt;45,U17-45,0)</f>
        <v>0</v>
      </c>
      <c r="W20" s="181" t="s">
        <v>93</v>
      </c>
      <c r="X20" s="182"/>
      <c r="Y20" s="182"/>
      <c r="Z20" s="182"/>
      <c r="AA20" s="183"/>
      <c r="AB20" s="91">
        <f>+IF(AB17&gt;45,AB17-45,0)</f>
        <v>0</v>
      </c>
      <c r="AD20" s="181" t="s">
        <v>93</v>
      </c>
      <c r="AE20" s="182"/>
      <c r="AF20" s="182"/>
      <c r="AG20" s="182"/>
      <c r="AH20" s="183"/>
      <c r="AI20" s="91">
        <f>+IF(AI17&gt;45,AI17-45,0)</f>
        <v>0</v>
      </c>
      <c r="AK20" s="181" t="s">
        <v>93</v>
      </c>
      <c r="AL20" s="182"/>
      <c r="AM20" s="182"/>
      <c r="AN20" s="182"/>
      <c r="AO20" s="183"/>
      <c r="AP20" s="91">
        <f>+IF(AP17&gt;45,AP17-45,0)</f>
        <v>0</v>
      </c>
      <c r="AR20" s="181" t="s">
        <v>93</v>
      </c>
      <c r="AS20" s="182"/>
      <c r="AT20" s="182"/>
      <c r="AU20" s="182"/>
      <c r="AV20" s="183"/>
      <c r="AW20" s="91">
        <f>+IF(AW17&gt;45,AW17-45,0)</f>
        <v>0</v>
      </c>
      <c r="AY20" s="181" t="s">
        <v>93</v>
      </c>
      <c r="AZ20" s="182"/>
      <c r="BA20" s="182"/>
      <c r="BB20" s="182"/>
      <c r="BC20" s="183"/>
      <c r="BD20" s="91">
        <f>+IF(BD17&gt;45,BD17-45,0)</f>
        <v>0</v>
      </c>
    </row>
    <row r="22" spans="1:56" x14ac:dyDescent="0.25">
      <c r="B22" s="92"/>
      <c r="C22" s="93"/>
      <c r="D22" s="93"/>
      <c r="E22" s="93"/>
      <c r="F22" s="69" t="s">
        <v>11</v>
      </c>
      <c r="G22" s="94">
        <v>36</v>
      </c>
      <c r="I22" s="92"/>
      <c r="J22" s="93"/>
      <c r="K22" s="93"/>
      <c r="L22" s="93"/>
      <c r="M22" s="69" t="s">
        <v>11</v>
      </c>
      <c r="N22" s="94">
        <v>16</v>
      </c>
      <c r="P22" s="92"/>
      <c r="Q22" s="93"/>
      <c r="R22" s="93"/>
      <c r="S22" s="93"/>
      <c r="T22" s="69" t="s">
        <v>11</v>
      </c>
      <c r="U22" s="94"/>
      <c r="W22" s="92"/>
      <c r="X22" s="93"/>
      <c r="Y22" s="93"/>
      <c r="Z22" s="93"/>
      <c r="AA22" s="69" t="s">
        <v>11</v>
      </c>
      <c r="AB22" s="94"/>
      <c r="AD22" s="92"/>
      <c r="AE22" s="93"/>
      <c r="AF22" s="93"/>
      <c r="AG22" s="93"/>
      <c r="AH22" s="69" t="s">
        <v>11</v>
      </c>
      <c r="AI22" s="94"/>
      <c r="AK22" s="92"/>
      <c r="AL22" s="93"/>
      <c r="AM22" s="93"/>
      <c r="AN22" s="93"/>
      <c r="AO22" s="69" t="s">
        <v>11</v>
      </c>
      <c r="AP22" s="94"/>
      <c r="AR22" s="92"/>
      <c r="AS22" s="93"/>
      <c r="AT22" s="93"/>
      <c r="AU22" s="93"/>
      <c r="AV22" s="69" t="s">
        <v>11</v>
      </c>
      <c r="AW22" s="94"/>
      <c r="AY22" s="92"/>
      <c r="AZ22" s="93"/>
      <c r="BA22" s="93"/>
      <c r="BB22" s="93"/>
      <c r="BC22" s="69" t="s">
        <v>11</v>
      </c>
      <c r="BD22" s="94"/>
    </row>
    <row r="23" spans="1:56" x14ac:dyDescent="0.25">
      <c r="BD23" s="55" t="s">
        <v>95</v>
      </c>
    </row>
    <row r="24" spans="1:56" x14ac:dyDescent="0.25">
      <c r="B24" s="181" t="str">
        <f>+IF(K22=0,"Total annuel heures :","Total annuel heures (Inf. ou égales à 45 hrs / sem) :")</f>
        <v>Total annuel heures :</v>
      </c>
      <c r="C24" s="182"/>
      <c r="D24" s="182"/>
      <c r="E24" s="182"/>
      <c r="F24" s="183"/>
      <c r="G24" s="91">
        <f>+G19*G22</f>
        <v>936</v>
      </c>
      <c r="I24" s="181" t="str">
        <f>+IF(R22=0,"Total annuel heures :","Total annuel heures (Inf. ou égales à 45 hrs / sem) :")</f>
        <v>Total annuel heures :</v>
      </c>
      <c r="J24" s="182"/>
      <c r="K24" s="182"/>
      <c r="L24" s="182"/>
      <c r="M24" s="183"/>
      <c r="N24" s="91">
        <f>+N19*N22</f>
        <v>720</v>
      </c>
      <c r="P24" s="181" t="str">
        <f>+IF(Y22=0,"Total annuel heures :","Total annuel heures (Inf. ou égales à 45 hrs / sem) :")</f>
        <v>Total annuel heures :</v>
      </c>
      <c r="Q24" s="182"/>
      <c r="R24" s="182"/>
      <c r="S24" s="182"/>
      <c r="T24" s="183"/>
      <c r="U24" s="91">
        <f>+U19*U22</f>
        <v>0</v>
      </c>
      <c r="W24" s="181" t="str">
        <f>+IF(AF22=0,"Total annuel heures :","Total annuel heures (Inf. ou égales à 45 hrs / sem) :")</f>
        <v>Total annuel heures :</v>
      </c>
      <c r="X24" s="182"/>
      <c r="Y24" s="182"/>
      <c r="Z24" s="182"/>
      <c r="AA24" s="183"/>
      <c r="AB24" s="91">
        <f>+AB19*AB22</f>
        <v>0</v>
      </c>
      <c r="AD24" s="181" t="str">
        <f>+IF(AM22=0,"Total annuel heures :","Total annuel heures (Inf. ou égales à 45 hrs / sem) :")</f>
        <v>Total annuel heures :</v>
      </c>
      <c r="AE24" s="182"/>
      <c r="AF24" s="182"/>
      <c r="AG24" s="182"/>
      <c r="AH24" s="183"/>
      <c r="AI24" s="91">
        <f>+AI19*AI22</f>
        <v>0</v>
      </c>
      <c r="AK24" s="181" t="str">
        <f>+IF(AT22=0,"Total annuel heures :","Total annuel heures (Inf. ou égales à 45 hrs / sem) :")</f>
        <v>Total annuel heures :</v>
      </c>
      <c r="AL24" s="182"/>
      <c r="AM24" s="182"/>
      <c r="AN24" s="182"/>
      <c r="AO24" s="183"/>
      <c r="AP24" s="91">
        <f>+AP19*AP22</f>
        <v>0</v>
      </c>
      <c r="AR24" s="181" t="str">
        <f>+IF(BA22=0,"Total annuel heures :","Total annuel heures (Inf. ou égales à 45 hrs / sem) :")</f>
        <v>Total annuel heures :</v>
      </c>
      <c r="AS24" s="182"/>
      <c r="AT24" s="182"/>
      <c r="AU24" s="182"/>
      <c r="AV24" s="183"/>
      <c r="AW24" s="91">
        <f>+AW19*AW22</f>
        <v>0</v>
      </c>
      <c r="AY24" s="181" t="str">
        <f>+IF(BH22=0,"Total annuel heures :","Total annuel heures (Inf. ou égales à 45 hrs / sem) :")</f>
        <v>Total annuel heures :</v>
      </c>
      <c r="AZ24" s="182"/>
      <c r="BA24" s="182"/>
      <c r="BB24" s="182"/>
      <c r="BC24" s="183"/>
      <c r="BD24" s="91">
        <f>+BD19*BD22</f>
        <v>0</v>
      </c>
    </row>
    <row r="25" spans="1:56" x14ac:dyDescent="0.25">
      <c r="B25" s="181" t="s">
        <v>94</v>
      </c>
      <c r="C25" s="182"/>
      <c r="D25" s="182"/>
      <c r="E25" s="182"/>
      <c r="F25" s="183"/>
      <c r="G25" s="91">
        <f>+G20*G22</f>
        <v>0</v>
      </c>
      <c r="I25" s="181" t="s">
        <v>94</v>
      </c>
      <c r="J25" s="182"/>
      <c r="K25" s="182"/>
      <c r="L25" s="182"/>
      <c r="M25" s="183"/>
      <c r="N25" s="91">
        <f>+N20*N22</f>
        <v>80</v>
      </c>
      <c r="P25" s="181" t="s">
        <v>94</v>
      </c>
      <c r="Q25" s="182"/>
      <c r="R25" s="182"/>
      <c r="S25" s="182"/>
      <c r="T25" s="183"/>
      <c r="U25" s="91">
        <f>+U20*U22</f>
        <v>0</v>
      </c>
      <c r="W25" s="181" t="s">
        <v>94</v>
      </c>
      <c r="X25" s="182"/>
      <c r="Y25" s="182"/>
      <c r="Z25" s="182"/>
      <c r="AA25" s="183"/>
      <c r="AB25" s="91">
        <f>+AB20*AB22</f>
        <v>0</v>
      </c>
      <c r="AD25" s="181" t="s">
        <v>94</v>
      </c>
      <c r="AE25" s="182"/>
      <c r="AF25" s="182"/>
      <c r="AG25" s="182"/>
      <c r="AH25" s="183"/>
      <c r="AI25" s="91">
        <f>+AI20*AI22</f>
        <v>0</v>
      </c>
      <c r="AK25" s="181" t="s">
        <v>94</v>
      </c>
      <c r="AL25" s="182"/>
      <c r="AM25" s="182"/>
      <c r="AN25" s="182"/>
      <c r="AO25" s="183"/>
      <c r="AP25" s="91">
        <f>+AP20*AP22</f>
        <v>0</v>
      </c>
      <c r="AR25" s="181" t="s">
        <v>94</v>
      </c>
      <c r="AS25" s="182"/>
      <c r="AT25" s="182"/>
      <c r="AU25" s="182"/>
      <c r="AV25" s="183"/>
      <c r="AW25" s="91">
        <f>+AW20*AW22</f>
        <v>0</v>
      </c>
      <c r="AY25" s="181" t="s">
        <v>94</v>
      </c>
      <c r="AZ25" s="182"/>
      <c r="BA25" s="182"/>
      <c r="BB25" s="182"/>
      <c r="BC25" s="183"/>
      <c r="BD25" s="91">
        <f>+BD20*BD22</f>
        <v>0</v>
      </c>
    </row>
    <row r="27" spans="1:56" x14ac:dyDescent="0.25">
      <c r="B27" s="92"/>
      <c r="C27" s="93"/>
      <c r="D27" s="93"/>
      <c r="E27" s="93"/>
      <c r="F27" s="68" t="s">
        <v>39</v>
      </c>
      <c r="G27" s="95">
        <f>+COUNTIF(G10:G16,"&gt;0,001")*G22</f>
        <v>180</v>
      </c>
      <c r="I27" s="92"/>
      <c r="J27" s="93"/>
      <c r="K27" s="93"/>
      <c r="L27" s="93"/>
      <c r="M27" s="68" t="s">
        <v>39</v>
      </c>
      <c r="N27" s="95">
        <f>+COUNTIF(N10:N16,"&gt;0,001")*N22</f>
        <v>80</v>
      </c>
      <c r="P27" s="92"/>
      <c r="Q27" s="93"/>
      <c r="R27" s="93"/>
      <c r="S27" s="93"/>
      <c r="T27" s="68" t="s">
        <v>39</v>
      </c>
      <c r="U27" s="95">
        <f>+COUNTIF(U10:U16,"&gt;0,001")*U22</f>
        <v>0</v>
      </c>
      <c r="W27" s="92"/>
      <c r="X27" s="93"/>
      <c r="Y27" s="93"/>
      <c r="Z27" s="93"/>
      <c r="AA27" s="68" t="s">
        <v>39</v>
      </c>
      <c r="AB27" s="95">
        <f>+COUNTIF(AB10:AB16,"&gt;0,001")*AB22</f>
        <v>0</v>
      </c>
      <c r="AD27" s="92"/>
      <c r="AE27" s="93"/>
      <c r="AF27" s="93"/>
      <c r="AG27" s="93"/>
      <c r="AH27" s="68" t="s">
        <v>39</v>
      </c>
      <c r="AI27" s="95">
        <f>+COUNTIF(AI10:AI16,"&gt;0,001")*AI22</f>
        <v>0</v>
      </c>
      <c r="AK27" s="92"/>
      <c r="AL27" s="93"/>
      <c r="AM27" s="93"/>
      <c r="AN27" s="93"/>
      <c r="AO27" s="68" t="s">
        <v>39</v>
      </c>
      <c r="AP27" s="95">
        <f>+COUNTIF(AP10:AP16,"&gt;0,001")*AP22</f>
        <v>0</v>
      </c>
      <c r="AR27" s="92"/>
      <c r="AS27" s="93"/>
      <c r="AT27" s="93"/>
      <c r="AU27" s="93"/>
      <c r="AV27" s="68" t="s">
        <v>39</v>
      </c>
      <c r="AW27" s="95">
        <f>+COUNTIF(AW10:AW16,"&gt;0,001")*AW22</f>
        <v>0</v>
      </c>
      <c r="AY27" s="92"/>
      <c r="AZ27" s="93"/>
      <c r="BA27" s="93"/>
      <c r="BB27" s="93"/>
      <c r="BC27" s="68" t="s">
        <v>39</v>
      </c>
      <c r="BD27" s="95">
        <f>+COUNTIF(BD10:BD16,"&gt;0,001")*BD22</f>
        <v>0</v>
      </c>
    </row>
    <row r="28" spans="1:56" x14ac:dyDescent="0.25">
      <c r="F28" s="57"/>
      <c r="G28" s="96"/>
      <c r="M28" s="57"/>
      <c r="N28" s="96"/>
      <c r="T28" s="57"/>
      <c r="U28" s="96"/>
      <c r="AA28" s="57"/>
      <c r="AB28" s="96"/>
      <c r="AH28" s="57"/>
      <c r="AI28" s="96"/>
      <c r="AO28" s="57"/>
      <c r="AP28" s="96"/>
      <c r="AV28" s="57"/>
      <c r="AW28" s="96"/>
      <c r="BC28" s="57"/>
      <c r="BD28" s="96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7" t="s">
        <v>72</v>
      </c>
      <c r="N30" s="97" t="s">
        <v>61</v>
      </c>
    </row>
    <row r="32" spans="1:56" x14ac:dyDescent="0.25">
      <c r="F32" s="57" t="s">
        <v>11</v>
      </c>
      <c r="G32" s="98">
        <f>+G22+N22+U22+AB22+AI22+AP22+AW22+BD22</f>
        <v>52</v>
      </c>
      <c r="M32" s="57" t="s">
        <v>21</v>
      </c>
      <c r="N32" s="51">
        <f ca="1">+IF(N30="OUI",VLOOKUP(D5,base,3,TRUE),VLOOKUP(D5,base,2,TRUE))</f>
        <v>0.88639999999999997</v>
      </c>
    </row>
    <row r="34" spans="1:14" x14ac:dyDescent="0.25">
      <c r="F34" s="57" t="s">
        <v>20</v>
      </c>
      <c r="G34" s="99" t="str">
        <f>+IF(G32=52,"COMPLETE", IF(AND(0&lt;G32,G32&lt;47),"INCOMPLETE",IF(G32=0,"","ERREUR")))</f>
        <v>COMPLETE</v>
      </c>
    </row>
    <row r="36" spans="1:14" x14ac:dyDescent="0.25">
      <c r="F36" s="56" t="s">
        <v>47</v>
      </c>
      <c r="G36" s="99">
        <f>+IF(G32=52,52, IF(G32&lt;47,G32,"ERREUR"))</f>
        <v>52</v>
      </c>
      <c r="M36" s="57" t="s">
        <v>97</v>
      </c>
      <c r="N36" s="100">
        <v>0.25</v>
      </c>
    </row>
    <row r="38" spans="1:14" x14ac:dyDescent="0.25">
      <c r="F38" s="57" t="s">
        <v>27</v>
      </c>
      <c r="G38" s="97">
        <v>5</v>
      </c>
      <c r="M38" s="57" t="s">
        <v>98</v>
      </c>
      <c r="N38" s="101">
        <f>+G38*(1+N36)</f>
        <v>6.25</v>
      </c>
    </row>
    <row r="39" spans="1:14" x14ac:dyDescent="0.25">
      <c r="F39" s="57"/>
    </row>
    <row r="40" spans="1:14" x14ac:dyDescent="0.25">
      <c r="F40" s="57" t="s">
        <v>22</v>
      </c>
      <c r="G40" s="101">
        <f ca="1">+G38*N32</f>
        <v>4.4319999999999995</v>
      </c>
      <c r="M40" s="57" t="s">
        <v>28</v>
      </c>
      <c r="N40" s="102">
        <v>4</v>
      </c>
    </row>
    <row r="41" spans="1:14" x14ac:dyDescent="0.25">
      <c r="F41" s="57"/>
      <c r="G41" s="101"/>
    </row>
    <row r="42" spans="1:14" x14ac:dyDescent="0.25">
      <c r="F42" s="57" t="str">
        <f>+IF(G43=0,"Total annuel heures :","Total annuel heures (Inf. ou égales à 45 hrs / sem) :")</f>
        <v>Total annuel heures (Inf. ou égales à 45 hrs / sem) :</v>
      </c>
      <c r="G42" s="96">
        <f>IF(G32,(G24+N24+U24+AB24+AI24+AP24+AW24+BD24)*G36/G32,0)</f>
        <v>1656</v>
      </c>
      <c r="M42" s="57" t="s">
        <v>52</v>
      </c>
      <c r="N42" s="102">
        <v>3.5</v>
      </c>
    </row>
    <row r="43" spans="1:14" x14ac:dyDescent="0.25">
      <c r="F43" s="57" t="s">
        <v>94</v>
      </c>
      <c r="G43" s="96">
        <f>IF(G32,(G25+N25+U25+AB25+AI25+AP25+AW25+BD25)*G36/G32,0)</f>
        <v>80</v>
      </c>
    </row>
    <row r="44" spans="1:14" x14ac:dyDescent="0.25">
      <c r="F44" s="57"/>
      <c r="G44" s="96"/>
      <c r="M44" s="57" t="s">
        <v>53</v>
      </c>
      <c r="N44" s="102">
        <v>1</v>
      </c>
    </row>
    <row r="45" spans="1:14" x14ac:dyDescent="0.25">
      <c r="F45" s="57" t="s">
        <v>39</v>
      </c>
      <c r="G45" s="103">
        <f>+G27+N27+U27+AB27+AI27+AP27+AW27+BD27</f>
        <v>260</v>
      </c>
    </row>
    <row r="46" spans="1:14" x14ac:dyDescent="0.25">
      <c r="F46" s="57"/>
      <c r="G46" s="101"/>
      <c r="M46" s="57" t="s">
        <v>51</v>
      </c>
      <c r="N46" s="102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4"/>
      <c r="B48" s="104"/>
      <c r="C48" s="104"/>
      <c r="D48" s="104"/>
      <c r="E48" s="104"/>
      <c r="F48" s="104"/>
      <c r="G48" s="104"/>
    </row>
    <row r="49" spans="1:7" ht="15.75" customHeight="1" x14ac:dyDescent="0.3">
      <c r="A49" s="104"/>
      <c r="F49" s="57" t="s">
        <v>40</v>
      </c>
      <c r="G49" s="103">
        <f>+G45/12</f>
        <v>21.666666666666668</v>
      </c>
    </row>
    <row r="50" spans="1:7" ht="15.75" customHeight="1" x14ac:dyDescent="0.25"/>
    <row r="51" spans="1:7" x14ac:dyDescent="0.25">
      <c r="F51" s="56" t="str">
        <f>+IF(G43=0,"Nombre d'heures mensualisées :","Nbre d'heures mens. (Inf. ou égales à 45 hrs / sem)  :")</f>
        <v>Nbre d'heures mens. (Inf. ou égales à 45 hrs / sem)  :</v>
      </c>
      <c r="G51" s="105">
        <f>+G42/12</f>
        <v>138</v>
      </c>
    </row>
    <row r="52" spans="1:7" x14ac:dyDescent="0.25">
      <c r="F52" s="56" t="s">
        <v>96</v>
      </c>
      <c r="G52" s="105">
        <f>+G43/12</f>
        <v>6.666666666666667</v>
      </c>
    </row>
    <row r="53" spans="1:7" x14ac:dyDescent="0.25">
      <c r="F53" s="57"/>
      <c r="G53" s="106">
        <f>+G52+G51</f>
        <v>144.66666666666666</v>
      </c>
    </row>
    <row r="55" spans="1:7" x14ac:dyDescent="0.25">
      <c r="E55" s="99"/>
      <c r="F55" s="56" t="s">
        <v>100</v>
      </c>
      <c r="G55" s="107">
        <f>+(G51*G38)+(G52*G38)</f>
        <v>723.33333333333337</v>
      </c>
    </row>
  </sheetData>
  <sheetProtection algorithmName="SHA-512" hashValue="9o3WA40LGNulLOnOPh9JvbGmdJaWpR31nF1bdrvg6/5COUxLctGribtyW+mRltKlPqWrPJs03Fo5FBri14Bt9g==" saltValue="0Lmtz8jQyb0k9iE71k/Z7g==" spinCount="100000" sheet="1" objects="1" scenarios="1" formatCells="0" formatColumns="0" formatRows="0" insertColumns="0" insertRows="0" insertHyperlinks="0" sort="0" autoFilter="0" pivotTables="0"/>
  <mergeCells count="45">
    <mergeCell ref="W25:AA25"/>
    <mergeCell ref="AD25:AH25"/>
    <mergeCell ref="AK25:AO25"/>
    <mergeCell ref="A30:G30"/>
    <mergeCell ref="A47:G47"/>
    <mergeCell ref="B25:F25"/>
    <mergeCell ref="I25:M25"/>
    <mergeCell ref="P25:T25"/>
    <mergeCell ref="AK24:AO24"/>
    <mergeCell ref="AR24:AV24"/>
    <mergeCell ref="AY24:BC24"/>
    <mergeCell ref="AR25:AV25"/>
    <mergeCell ref="AY25:BC25"/>
    <mergeCell ref="B24:F24"/>
    <mergeCell ref="I24:M24"/>
    <mergeCell ref="P24:T24"/>
    <mergeCell ref="W24:AA24"/>
    <mergeCell ref="AD24:AH24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V8:AB8"/>
    <mergeCell ref="AC8:AI8"/>
    <mergeCell ref="AJ8:AP8"/>
    <mergeCell ref="AQ8:AW8"/>
    <mergeCell ref="AX8:BD8"/>
    <mergeCell ref="A1:N1"/>
    <mergeCell ref="K2:Q2"/>
    <mergeCell ref="D3:F3"/>
    <mergeCell ref="A8:G8"/>
    <mergeCell ref="H8:N8"/>
    <mergeCell ref="O8:U8"/>
  </mergeCells>
  <conditionalFormatting sqref="B20:F20">
    <cfRule type="expression" dxfId="45" priority="44">
      <formula>G17=0</formula>
    </cfRule>
  </conditionalFormatting>
  <conditionalFormatting sqref="B25:F25">
    <cfRule type="expression" dxfId="44" priority="43">
      <formula>G17=0</formula>
    </cfRule>
  </conditionalFormatting>
  <conditionalFormatting sqref="F43 F52">
    <cfRule type="expression" dxfId="43" priority="4">
      <formula>$G$43=0</formula>
    </cfRule>
  </conditionalFormatting>
  <conditionalFormatting sqref="G20">
    <cfRule type="expression" dxfId="42" priority="42">
      <formula>G17=0</formula>
    </cfRule>
  </conditionalFormatting>
  <conditionalFormatting sqref="G22">
    <cfRule type="cellIs" dxfId="41" priority="12" operator="between">
      <formula>47</formula>
      <formula>51</formula>
    </cfRule>
  </conditionalFormatting>
  <conditionalFormatting sqref="G25">
    <cfRule type="expression" dxfId="40" priority="41">
      <formula>G17=0</formula>
    </cfRule>
  </conditionalFormatting>
  <conditionalFormatting sqref="G32">
    <cfRule type="cellIs" dxfId="39" priority="46" operator="between">
      <formula>46.9999999999</formula>
      <formula>51.99999</formula>
    </cfRule>
    <cfRule type="cellIs" dxfId="38" priority="45" operator="greaterThanOrEqual">
      <formula>52.0000001</formula>
    </cfRule>
  </conditionalFormatting>
  <conditionalFormatting sqref="G43">
    <cfRule type="cellIs" dxfId="37" priority="3" operator="equal">
      <formula>0</formula>
    </cfRule>
  </conditionalFormatting>
  <conditionalFormatting sqref="G52">
    <cfRule type="cellIs" dxfId="36" priority="2" operator="equal">
      <formula>0</formula>
    </cfRule>
  </conditionalFormatting>
  <conditionalFormatting sqref="G53">
    <cfRule type="expression" dxfId="35" priority="1">
      <formula>$G$52=0</formula>
    </cfRule>
  </conditionalFormatting>
  <conditionalFormatting sqref="I20:M20">
    <cfRule type="expression" dxfId="34" priority="40">
      <formula>N17=0</formula>
    </cfRule>
  </conditionalFormatting>
  <conditionalFormatting sqref="I25:M25">
    <cfRule type="expression" dxfId="33" priority="26">
      <formula>N17=0</formula>
    </cfRule>
  </conditionalFormatting>
  <conditionalFormatting sqref="N20">
    <cfRule type="expression" dxfId="32" priority="39">
      <formula>N17=0</formula>
    </cfRule>
  </conditionalFormatting>
  <conditionalFormatting sqref="N22">
    <cfRule type="cellIs" dxfId="31" priority="11" operator="between">
      <formula>47</formula>
      <formula>51</formula>
    </cfRule>
  </conditionalFormatting>
  <conditionalFormatting sqref="N25">
    <cfRule type="expression" dxfId="30" priority="25">
      <formula>N17=0</formula>
    </cfRule>
  </conditionalFormatting>
  <conditionalFormatting sqref="P20:T20">
    <cfRule type="expression" dxfId="29" priority="38">
      <formula>U17=0</formula>
    </cfRule>
  </conditionalFormatting>
  <conditionalFormatting sqref="P25:T25">
    <cfRule type="expression" dxfId="28" priority="24">
      <formula>U17=0</formula>
    </cfRule>
  </conditionalFormatting>
  <conditionalFormatting sqref="U20">
    <cfRule type="expression" dxfId="27" priority="37">
      <formula>U17=0</formula>
    </cfRule>
  </conditionalFormatting>
  <conditionalFormatting sqref="U22">
    <cfRule type="cellIs" dxfId="26" priority="10" operator="between">
      <formula>47</formula>
      <formula>51</formula>
    </cfRule>
  </conditionalFormatting>
  <conditionalFormatting sqref="U25">
    <cfRule type="expression" dxfId="25" priority="23">
      <formula>U17=0</formula>
    </cfRule>
  </conditionalFormatting>
  <conditionalFormatting sqref="W20:AA20">
    <cfRule type="expression" dxfId="24" priority="36">
      <formula>AB17=0</formula>
    </cfRule>
  </conditionalFormatting>
  <conditionalFormatting sqref="W25:AA25">
    <cfRule type="expression" dxfId="23" priority="22">
      <formula>AB17=0</formula>
    </cfRule>
  </conditionalFormatting>
  <conditionalFormatting sqref="AB20">
    <cfRule type="expression" dxfId="22" priority="35">
      <formula>AB17=0</formula>
    </cfRule>
  </conditionalFormatting>
  <conditionalFormatting sqref="AB22">
    <cfRule type="cellIs" dxfId="21" priority="9" operator="between">
      <formula>47</formula>
      <formula>51</formula>
    </cfRule>
  </conditionalFormatting>
  <conditionalFormatting sqref="AB25">
    <cfRule type="expression" dxfId="20" priority="21">
      <formula>AB17=0</formula>
    </cfRule>
  </conditionalFormatting>
  <conditionalFormatting sqref="AD20:AH20">
    <cfRule type="expression" dxfId="19" priority="34">
      <formula>AI17=0</formula>
    </cfRule>
  </conditionalFormatting>
  <conditionalFormatting sqref="AD25:AH25">
    <cfRule type="expression" dxfId="18" priority="20">
      <formula>AI17=0</formula>
    </cfRule>
  </conditionalFormatting>
  <conditionalFormatting sqref="AI20">
    <cfRule type="expression" dxfId="17" priority="33">
      <formula>AI17=0</formula>
    </cfRule>
  </conditionalFormatting>
  <conditionalFormatting sqref="AI22">
    <cfRule type="cellIs" dxfId="16" priority="8" operator="between">
      <formula>47</formula>
      <formula>51</formula>
    </cfRule>
  </conditionalFormatting>
  <conditionalFormatting sqref="AI25">
    <cfRule type="expression" dxfId="15" priority="19">
      <formula>AI17=0</formula>
    </cfRule>
  </conditionalFormatting>
  <conditionalFormatting sqref="AK20:AO20">
    <cfRule type="expression" dxfId="14" priority="32">
      <formula>AP17=0</formula>
    </cfRule>
  </conditionalFormatting>
  <conditionalFormatting sqref="AK25:AO25">
    <cfRule type="expression" dxfId="13" priority="18">
      <formula>AP17=0</formula>
    </cfRule>
  </conditionalFormatting>
  <conditionalFormatting sqref="AP20">
    <cfRule type="expression" dxfId="12" priority="31">
      <formula>AP17=0</formula>
    </cfRule>
  </conditionalFormatting>
  <conditionalFormatting sqref="AP22">
    <cfRule type="cellIs" dxfId="11" priority="7" operator="between">
      <formula>47</formula>
      <formula>51</formula>
    </cfRule>
  </conditionalFormatting>
  <conditionalFormatting sqref="AP25">
    <cfRule type="expression" dxfId="10" priority="17">
      <formula>AP17=0</formula>
    </cfRule>
  </conditionalFormatting>
  <conditionalFormatting sqref="AR20:AV20">
    <cfRule type="expression" dxfId="9" priority="30">
      <formula>AW17=0</formula>
    </cfRule>
  </conditionalFormatting>
  <conditionalFormatting sqref="AR25:AV25">
    <cfRule type="expression" dxfId="8" priority="16">
      <formula>AW17=0</formula>
    </cfRule>
  </conditionalFormatting>
  <conditionalFormatting sqref="AW20">
    <cfRule type="expression" dxfId="7" priority="29">
      <formula>AW17=0</formula>
    </cfRule>
  </conditionalFormatting>
  <conditionalFormatting sqref="AW22">
    <cfRule type="cellIs" dxfId="6" priority="6" operator="between">
      <formula>47</formula>
      <formula>51</formula>
    </cfRule>
  </conditionalFormatting>
  <conditionalFormatting sqref="AW25">
    <cfRule type="expression" dxfId="5" priority="15">
      <formula>AW17=0</formula>
    </cfRule>
  </conditionalFormatting>
  <conditionalFormatting sqref="AY20:BC20">
    <cfRule type="expression" dxfId="4" priority="28">
      <formula>BD17=0</formula>
    </cfRule>
  </conditionalFormatting>
  <conditionalFormatting sqref="AY25:BC25">
    <cfRule type="expression" dxfId="3" priority="14">
      <formula>BD17=0</formula>
    </cfRule>
  </conditionalFormatting>
  <conditionalFormatting sqref="BD20">
    <cfRule type="expression" dxfId="2" priority="27">
      <formula>BD17=0</formula>
    </cfRule>
  </conditionalFormatting>
  <conditionalFormatting sqref="BD22">
    <cfRule type="cellIs" dxfId="1" priority="5" operator="between">
      <formula>47</formula>
      <formula>51</formula>
    </cfRule>
  </conditionalFormatting>
  <conditionalFormatting sqref="BD25">
    <cfRule type="expression" dxfId="0" priority="13">
      <formula>BD17=0</formula>
    </cfRule>
  </conditionalFormatting>
  <dataValidations count="2">
    <dataValidation type="list" allowBlank="1" showInputMessage="1" showErrorMessage="1" sqref="N30" xr:uid="{C3823CFC-96C3-44F6-92BA-0EC5D790917B}">
      <formula1>"OUI,NON"</formula1>
    </dataValidation>
    <dataValidation errorStyle="information" allowBlank="1" showErrorMessage="1" errorTitle="Ne peut ête supérieure à 52 sem" sqref="G32" xr:uid="{3F47BCA4-F786-4C30-906C-18D036D1A399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B5C6-B3C4-4008-933D-99098860AC6A}">
  <dimension ref="A1:S7"/>
  <sheetViews>
    <sheetView workbookViewId="0">
      <selection activeCell="B4" sqref="B4"/>
    </sheetView>
  </sheetViews>
  <sheetFormatPr baseColWidth="10" defaultRowHeight="15" x14ac:dyDescent="0.25"/>
  <cols>
    <col min="1" max="20" width="14.42578125" customWidth="1"/>
  </cols>
  <sheetData>
    <row r="1" spans="1:19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</row>
    <row r="2" spans="1:19" ht="117.75" customHeight="1" x14ac:dyDescent="0.25">
      <c r="A2" s="32" t="s">
        <v>73</v>
      </c>
      <c r="B2" s="32" t="s">
        <v>74</v>
      </c>
      <c r="C2" s="32" t="s">
        <v>75</v>
      </c>
      <c r="D2" s="32" t="s">
        <v>76</v>
      </c>
      <c r="E2" s="32" t="s">
        <v>77</v>
      </c>
      <c r="F2" s="32" t="s">
        <v>78</v>
      </c>
      <c r="G2" s="32" t="s">
        <v>79</v>
      </c>
      <c r="H2" s="32" t="s">
        <v>80</v>
      </c>
      <c r="I2" s="32" t="s">
        <v>81</v>
      </c>
      <c r="J2" s="32" t="s">
        <v>82</v>
      </c>
      <c r="K2" s="32" t="s">
        <v>83</v>
      </c>
      <c r="L2" s="32" t="s">
        <v>84</v>
      </c>
      <c r="M2" s="32" t="s">
        <v>85</v>
      </c>
      <c r="N2" s="32" t="s">
        <v>86</v>
      </c>
      <c r="O2" s="32" t="s">
        <v>87</v>
      </c>
      <c r="P2" s="32" t="s">
        <v>88</v>
      </c>
      <c r="Q2" s="32" t="s">
        <v>89</v>
      </c>
      <c r="R2" s="32" t="s">
        <v>90</v>
      </c>
      <c r="S2" s="32" t="s">
        <v>69</v>
      </c>
    </row>
    <row r="3" spans="1:19" x14ac:dyDescent="0.25">
      <c r="A3" s="52">
        <v>44927</v>
      </c>
      <c r="B3">
        <v>0.88639999999999997</v>
      </c>
      <c r="C3">
        <v>0.76819999999999999</v>
      </c>
      <c r="D3">
        <v>21661</v>
      </c>
      <c r="E3">
        <v>48135</v>
      </c>
      <c r="F3">
        <v>24735</v>
      </c>
      <c r="G3">
        <v>54968</v>
      </c>
      <c r="H3">
        <v>27809</v>
      </c>
      <c r="I3">
        <v>61801</v>
      </c>
      <c r="J3">
        <v>3074</v>
      </c>
      <c r="K3">
        <v>6833</v>
      </c>
      <c r="L3" s="54">
        <v>0.4</v>
      </c>
      <c r="M3">
        <v>498.33</v>
      </c>
      <c r="N3">
        <v>314.24</v>
      </c>
      <c r="O3">
        <v>188.52</v>
      </c>
      <c r="P3">
        <v>249.16</v>
      </c>
      <c r="Q3">
        <v>157.15</v>
      </c>
      <c r="R3">
        <v>94.26</v>
      </c>
      <c r="S3" s="53">
        <v>0.3</v>
      </c>
    </row>
    <row r="4" spans="1:19" x14ac:dyDescent="0.25">
      <c r="A4" s="52">
        <v>45017</v>
      </c>
      <c r="B4">
        <v>0.88639999999999997</v>
      </c>
      <c r="C4">
        <v>0.76819999999999999</v>
      </c>
      <c r="D4">
        <v>21661</v>
      </c>
      <c r="E4">
        <v>48135</v>
      </c>
      <c r="F4">
        <v>24735</v>
      </c>
      <c r="G4">
        <v>54968</v>
      </c>
      <c r="H4">
        <v>27809</v>
      </c>
      <c r="I4">
        <v>61801</v>
      </c>
      <c r="J4">
        <v>3074</v>
      </c>
      <c r="K4">
        <v>6833</v>
      </c>
      <c r="L4" s="54">
        <v>0.4</v>
      </c>
      <c r="M4">
        <v>506</v>
      </c>
      <c r="N4">
        <v>319.07</v>
      </c>
      <c r="O4">
        <v>191.41</v>
      </c>
      <c r="P4">
        <v>253</v>
      </c>
      <c r="Q4">
        <v>159.56</v>
      </c>
      <c r="R4">
        <v>95.71</v>
      </c>
      <c r="S4" s="54">
        <v>0.3</v>
      </c>
    </row>
    <row r="5" spans="1:19" x14ac:dyDescent="0.25">
      <c r="A5" s="52">
        <v>45292</v>
      </c>
      <c r="B5">
        <v>0.88639999999999997</v>
      </c>
      <c r="C5">
        <v>0.76819999999999999</v>
      </c>
      <c r="D5">
        <v>22809</v>
      </c>
      <c r="E5">
        <v>50686</v>
      </c>
      <c r="F5">
        <v>26046</v>
      </c>
      <c r="G5">
        <v>57881</v>
      </c>
      <c r="H5">
        <v>29283</v>
      </c>
      <c r="I5">
        <v>65076</v>
      </c>
      <c r="J5">
        <v>3237</v>
      </c>
      <c r="K5">
        <v>7195</v>
      </c>
      <c r="L5" s="54">
        <v>0.4</v>
      </c>
      <c r="M5">
        <v>506</v>
      </c>
      <c r="N5">
        <v>319.07</v>
      </c>
      <c r="O5">
        <v>191.41</v>
      </c>
      <c r="P5">
        <v>253</v>
      </c>
      <c r="Q5">
        <v>159.56</v>
      </c>
      <c r="R5">
        <v>95.71</v>
      </c>
      <c r="S5" s="54">
        <v>0.3</v>
      </c>
    </row>
    <row r="6" spans="1:19" x14ac:dyDescent="0.25">
      <c r="A6" s="52">
        <v>45383</v>
      </c>
      <c r="B6">
        <v>0.88639999999999997</v>
      </c>
      <c r="C6">
        <v>0.76819999999999999</v>
      </c>
      <c r="D6">
        <v>22809</v>
      </c>
      <c r="E6">
        <v>50686</v>
      </c>
      <c r="F6">
        <v>26046</v>
      </c>
      <c r="G6">
        <v>57881</v>
      </c>
      <c r="H6">
        <v>29283</v>
      </c>
      <c r="I6">
        <v>65076</v>
      </c>
      <c r="J6">
        <v>3237</v>
      </c>
      <c r="K6">
        <v>7195</v>
      </c>
      <c r="L6" s="54">
        <v>0.4</v>
      </c>
      <c r="M6">
        <v>529.28</v>
      </c>
      <c r="N6">
        <v>333.75</v>
      </c>
      <c r="O6">
        <v>200.22</v>
      </c>
      <c r="P6">
        <v>264.64</v>
      </c>
      <c r="Q6">
        <v>166.9</v>
      </c>
      <c r="R6">
        <v>100.11</v>
      </c>
      <c r="S6" s="54">
        <v>0.3</v>
      </c>
    </row>
    <row r="7" spans="1:19" x14ac:dyDescent="0.25">
      <c r="A7" s="52">
        <v>45658</v>
      </c>
      <c r="B7">
        <v>0.88639999999999997</v>
      </c>
      <c r="C7">
        <v>0.76819999999999999</v>
      </c>
      <c r="D7">
        <v>23903</v>
      </c>
      <c r="E7">
        <v>53119</v>
      </c>
      <c r="F7">
        <v>27295</v>
      </c>
      <c r="G7">
        <v>60659</v>
      </c>
      <c r="H7">
        <v>30687</v>
      </c>
      <c r="I7">
        <v>68199</v>
      </c>
      <c r="J7">
        <v>3392</v>
      </c>
      <c r="K7">
        <v>7540</v>
      </c>
      <c r="L7" s="54">
        <v>0.4</v>
      </c>
      <c r="M7">
        <v>529.28</v>
      </c>
      <c r="N7">
        <v>333.75</v>
      </c>
      <c r="O7">
        <v>200.22</v>
      </c>
      <c r="P7">
        <v>264.64</v>
      </c>
      <c r="Q7">
        <v>166.9</v>
      </c>
      <c r="R7">
        <v>100.11</v>
      </c>
      <c r="S7" s="54">
        <v>0.3</v>
      </c>
    </row>
  </sheetData>
  <sheetProtection algorithmName="SHA-512" hashValue="3EuoOXnFWFdPh0x71lAkPfZ7b/ALwSEEcmMsHpxYSqmOeG3PxliezhuJnmDI1JmDOgfw6VmEEe3ajWXkwi6hBw==" saltValue="sfVCTvX433iCrPU0Exdb9Q==" spinCount="100000" sheet="1" objects="1" scenarios="1" formatCells="0" formatColumns="0" formatRows="0" insertColumns="0" insertRows="0" insertHyperlink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Mensualisation</vt:lpstr>
      <vt:lpstr>Aide de la CAF et coût</vt:lpstr>
      <vt:lpstr>Exemple 1 année incomplète</vt:lpstr>
      <vt:lpstr>Exemple 2 année complète </vt:lpstr>
      <vt:lpstr>Exemple 3 année complète péris</vt:lpstr>
      <vt:lpstr>base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2020-09-28T11:42:08Z</cp:lastPrinted>
  <dcterms:created xsi:type="dcterms:W3CDTF">2020-06-23T15:33:20Z</dcterms:created>
  <dcterms:modified xsi:type="dcterms:W3CDTF">2025-01-27T13:52:34Z</dcterms:modified>
</cp:coreProperties>
</file>