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Mon Drive\Clé usb\FoFGTA\Mayotte\"/>
    </mc:Choice>
  </mc:AlternateContent>
  <xr:revisionPtr revIDLastSave="0" documentId="13_ncr:1_{8EE01416-AB6B-4B71-B921-61090F0B92EB}" xr6:coauthVersionLast="47" xr6:coauthVersionMax="47" xr10:uidLastSave="{00000000-0000-0000-0000-000000000000}"/>
  <bookViews>
    <workbookView xWindow="-120" yWindow="-120" windowWidth="20730" windowHeight="11160" xr2:uid="{00000000-000D-0000-FFFF-FFFF00000000}"/>
  </bookViews>
  <sheets>
    <sheet name="Bulletin simple" sheetId="1" r:id="rId1"/>
    <sheet name="Retenue sur salaire" sheetId="2" r:id="rId2"/>
    <sheet name="Déclaration Pajemploi" sheetId="3" r:id="rId3"/>
    <sheet name="Exemple" sheetId="7" r:id="rId4"/>
    <sheet name="Taux_cotisations" sheetId="4" r:id="rId5"/>
  </sheets>
  <definedNames>
    <definedName name="base_pajemploi">#REF!</definedName>
    <definedName name="base_smic">'Bulletin simple'!$AR$18:$AS$24</definedName>
    <definedName name="HR_HM">'Bulletin simple'!$BX$1:$BX$2</definedName>
    <definedName name="table_coef_base_patronale">Taux_cotisations!$A$110:$M$137</definedName>
    <definedName name="table_coef_base_salariale">Taux_cotisations!$A$75:$M$102</definedName>
    <definedName name="table_taux_patronales">Taux_cotisations!$A$39:$M$66</definedName>
    <definedName name="table_taux_salariale">Taux_cotisations!$A$6:$M$33</definedName>
    <definedName name="_xlnm.Print_Area" localSheetId="0">'Bulletin simple'!$A$1:$AO$88</definedName>
    <definedName name="_xlnm.Print_Area" localSheetId="2">'Déclaration Pajemploi'!$A$1:$C$83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85" i="7" l="1"/>
  <c r="AL88" i="7" s="1"/>
  <c r="AH85" i="7"/>
  <c r="AH88" i="7" s="1"/>
  <c r="F83" i="7"/>
  <c r="AL82" i="7"/>
  <c r="AH82" i="7"/>
  <c r="V81" i="7"/>
  <c r="V80" i="7"/>
  <c r="Z68" i="7"/>
  <c r="N68" i="7"/>
  <c r="N66" i="7"/>
  <c r="N65" i="7"/>
  <c r="N69" i="7" s="1"/>
  <c r="N64" i="7"/>
  <c r="N63" i="7"/>
  <c r="N62" i="7"/>
  <c r="E73" i="7" s="1"/>
  <c r="U56" i="7"/>
  <c r="A56" i="7"/>
  <c r="U54" i="7"/>
  <c r="A54" i="7"/>
  <c r="U52" i="7"/>
  <c r="AJ51" i="7"/>
  <c r="AG51" i="7"/>
  <c r="AD51" i="7"/>
  <c r="AN50" i="7"/>
  <c r="AC50" i="7"/>
  <c r="AB50" i="7"/>
  <c r="A50" i="7"/>
  <c r="U50" i="7" s="1"/>
  <c r="AN49" i="7"/>
  <c r="AC49" i="7"/>
  <c r="AB49" i="7"/>
  <c r="AN48" i="7"/>
  <c r="AC48" i="7"/>
  <c r="AB48" i="7"/>
  <c r="A48" i="7"/>
  <c r="U48" i="7" s="1"/>
  <c r="AN47" i="7"/>
  <c r="AC47" i="7"/>
  <c r="AB47" i="7"/>
  <c r="A47" i="7"/>
  <c r="AN46" i="7"/>
  <c r="AC46" i="7"/>
  <c r="AB46" i="7"/>
  <c r="AN45" i="7"/>
  <c r="AC45" i="7"/>
  <c r="AB45" i="7"/>
  <c r="U45" i="7"/>
  <c r="K45" i="7"/>
  <c r="A45" i="7"/>
  <c r="AN44" i="7"/>
  <c r="AC44" i="7"/>
  <c r="AB44" i="7"/>
  <c r="A44" i="7"/>
  <c r="AN43" i="7"/>
  <c r="AC43" i="7"/>
  <c r="AB43" i="7"/>
  <c r="AN42" i="7"/>
  <c r="AC42" i="7"/>
  <c r="AB42" i="7"/>
  <c r="A42" i="7"/>
  <c r="U42" i="7" s="1"/>
  <c r="AN41" i="7"/>
  <c r="AC41" i="7"/>
  <c r="AB41" i="7"/>
  <c r="AN40" i="7"/>
  <c r="AC40" i="7"/>
  <c r="AB40" i="7"/>
  <c r="A40" i="7"/>
  <c r="AN39" i="7"/>
  <c r="AC39" i="7"/>
  <c r="AB39" i="7"/>
  <c r="A39" i="7"/>
  <c r="K39" i="7" s="1"/>
  <c r="AN38" i="7"/>
  <c r="AC38" i="7"/>
  <c r="AB38" i="7"/>
  <c r="U38" i="7"/>
  <c r="K38" i="7"/>
  <c r="A38" i="7"/>
  <c r="AN37" i="7"/>
  <c r="AC37" i="7"/>
  <c r="AB37" i="7"/>
  <c r="A37" i="7"/>
  <c r="AN36" i="7"/>
  <c r="AC36" i="7"/>
  <c r="AB36" i="7"/>
  <c r="AN35" i="7"/>
  <c r="AC35" i="7"/>
  <c r="AB35" i="7"/>
  <c r="AN34" i="7"/>
  <c r="AC34" i="7"/>
  <c r="AB34" i="7"/>
  <c r="AN33" i="7"/>
  <c r="AC33" i="7"/>
  <c r="AB33" i="7"/>
  <c r="AN32" i="7"/>
  <c r="AC32" i="7"/>
  <c r="AB32" i="7"/>
  <c r="AN31" i="7"/>
  <c r="AC31" i="7"/>
  <c r="AB31" i="7"/>
  <c r="AN30" i="7"/>
  <c r="AC30" i="7"/>
  <c r="AB30" i="7"/>
  <c r="AN29" i="7"/>
  <c r="AC29" i="7"/>
  <c r="AB29" i="7"/>
  <c r="AN28" i="7"/>
  <c r="AC28" i="7"/>
  <c r="AB28" i="7"/>
  <c r="AN27" i="7"/>
  <c r="AC27" i="7"/>
  <c r="AB27" i="7"/>
  <c r="AN26" i="7"/>
  <c r="AC26" i="7"/>
  <c r="AB26" i="7"/>
  <c r="AN25" i="7"/>
  <c r="AL67" i="7" s="1"/>
  <c r="AC25" i="7"/>
  <c r="AB25" i="7"/>
  <c r="AN24" i="7"/>
  <c r="AC24" i="7"/>
  <c r="AB24" i="7"/>
  <c r="BH23" i="7"/>
  <c r="AN23" i="7"/>
  <c r="AC23" i="7"/>
  <c r="AB23" i="7"/>
  <c r="T23" i="7"/>
  <c r="P23" i="7"/>
  <c r="L23" i="7"/>
  <c r="AN22" i="7"/>
  <c r="AC22" i="7"/>
  <c r="AB22" i="7"/>
  <c r="L22" i="7"/>
  <c r="AN21" i="7"/>
  <c r="AC21" i="7"/>
  <c r="AB21" i="7"/>
  <c r="A21" i="7"/>
  <c r="AN20" i="7"/>
  <c r="AL68" i="7" s="1"/>
  <c r="AC20" i="7"/>
  <c r="AB20" i="7"/>
  <c r="L20" i="7"/>
  <c r="P21" i="7" s="1"/>
  <c r="T21" i="7" s="1"/>
  <c r="A20" i="7"/>
  <c r="P19" i="7"/>
  <c r="P22" i="7" s="1"/>
  <c r="T22" i="7" s="1"/>
  <c r="L19" i="7"/>
  <c r="A19" i="7"/>
  <c r="AR11" i="7"/>
  <c r="AL15" i="7" s="1"/>
  <c r="AB5" i="7"/>
  <c r="X5" i="7"/>
  <c r="BJ3" i="7"/>
  <c r="BJ4" i="7" s="1"/>
  <c r="BJ5" i="7" s="1"/>
  <c r="BJ6" i="7" s="1"/>
  <c r="BJ7" i="7" s="1"/>
  <c r="BJ8" i="7" s="1"/>
  <c r="BJ9" i="7" s="1"/>
  <c r="BJ10" i="7" s="1"/>
  <c r="BJ11" i="7" s="1"/>
  <c r="BJ12" i="7" s="1"/>
  <c r="BJ13" i="7" s="1"/>
  <c r="A56" i="1"/>
  <c r="U56" i="1" s="1"/>
  <c r="A54" i="1"/>
  <c r="U54" i="1"/>
  <c r="U52" i="1"/>
  <c r="A50" i="1"/>
  <c r="U50" i="1" s="1"/>
  <c r="A48" i="1"/>
  <c r="A47" i="1"/>
  <c r="A45" i="1"/>
  <c r="K45" i="1" s="1"/>
  <c r="A44" i="1"/>
  <c r="A42" i="1"/>
  <c r="A40" i="1"/>
  <c r="A39" i="1"/>
  <c r="U39" i="1" s="1"/>
  <c r="A38" i="1"/>
  <c r="U38" i="1" s="1"/>
  <c r="A37" i="1"/>
  <c r="C10" i="4"/>
  <c r="D10" i="4" s="1"/>
  <c r="E10" i="4" s="1"/>
  <c r="F10" i="4" s="1"/>
  <c r="G10" i="4" s="1"/>
  <c r="H10" i="4" s="1"/>
  <c r="I10" i="4" s="1"/>
  <c r="J10" i="4" s="1"/>
  <c r="K10" i="4" s="1"/>
  <c r="L10" i="4" s="1"/>
  <c r="M10" i="4" s="1"/>
  <c r="C11" i="4"/>
  <c r="T19" i="7" l="1"/>
  <c r="U39" i="7"/>
  <c r="AL66" i="7"/>
  <c r="P20" i="7"/>
  <c r="T20" i="7" s="1"/>
  <c r="K39" i="1"/>
  <c r="U42" i="1"/>
  <c r="U48" i="1"/>
  <c r="K38" i="1"/>
  <c r="U45" i="1"/>
  <c r="C130" i="4"/>
  <c r="D130" i="4" s="1"/>
  <c r="E130" i="4" s="1"/>
  <c r="F130" i="4" s="1"/>
  <c r="G130" i="4" s="1"/>
  <c r="H130" i="4" s="1"/>
  <c r="I130" i="4" s="1"/>
  <c r="J130" i="4" s="1"/>
  <c r="K130" i="4" s="1"/>
  <c r="L130" i="4" s="1"/>
  <c r="M130" i="4" s="1"/>
  <c r="C59" i="4"/>
  <c r="D59" i="4" s="1"/>
  <c r="E59" i="4" s="1"/>
  <c r="F59" i="4" l="1"/>
  <c r="G59" i="4" s="1"/>
  <c r="H59" i="4" s="1"/>
  <c r="I59" i="4" s="1"/>
  <c r="J59" i="4" s="1"/>
  <c r="K59" i="4" s="1"/>
  <c r="L59" i="4" s="1"/>
  <c r="M59" i="4" s="1"/>
  <c r="C61" i="4"/>
  <c r="D61" i="4" s="1"/>
  <c r="E61" i="4" s="1"/>
  <c r="F61" i="4" s="1"/>
  <c r="G61" i="4" s="1"/>
  <c r="H61" i="4" s="1"/>
  <c r="I61" i="4" s="1"/>
  <c r="J61" i="4" s="1"/>
  <c r="K61" i="4" s="1"/>
  <c r="L61" i="4" s="1"/>
  <c r="M61" i="4" s="1"/>
  <c r="B6" i="4" a="1"/>
  <c r="B6" i="4" s="1"/>
  <c r="A21" i="1"/>
  <c r="A19" i="1"/>
  <c r="AB37" i="1" l="1"/>
  <c r="AC37" i="1"/>
  <c r="AN37" i="1"/>
  <c r="AB38" i="1"/>
  <c r="AC38" i="1"/>
  <c r="AN38" i="1"/>
  <c r="AB39" i="1"/>
  <c r="AC39" i="1"/>
  <c r="AN39" i="1"/>
  <c r="BH23" i="1"/>
  <c r="C6" i="4"/>
  <c r="D6" i="4" s="1"/>
  <c r="D39" i="4" s="1"/>
  <c r="D75" i="4" s="1"/>
  <c r="D110" i="4" s="1"/>
  <c r="D11" i="4"/>
  <c r="C15" i="4"/>
  <c r="D15" i="4" s="1"/>
  <c r="E15" i="4" s="1"/>
  <c r="F15" i="4" s="1"/>
  <c r="G15" i="4" s="1"/>
  <c r="H15" i="4" s="1"/>
  <c r="I15" i="4" s="1"/>
  <c r="J15" i="4" s="1"/>
  <c r="K15" i="4" s="1"/>
  <c r="L15" i="4" s="1"/>
  <c r="M15" i="4" s="1"/>
  <c r="C16" i="4"/>
  <c r="D16" i="4" s="1"/>
  <c r="E16" i="4" s="1"/>
  <c r="F16" i="4" s="1"/>
  <c r="G16" i="4" s="1"/>
  <c r="H16" i="4" s="1"/>
  <c r="I16" i="4" s="1"/>
  <c r="J16" i="4" s="1"/>
  <c r="K16" i="4" s="1"/>
  <c r="L16" i="4" s="1"/>
  <c r="M16" i="4" s="1"/>
  <c r="C17" i="4"/>
  <c r="D17" i="4" s="1"/>
  <c r="E17" i="4" s="1"/>
  <c r="F17" i="4" s="1"/>
  <c r="G17" i="4" s="1"/>
  <c r="H17" i="4" s="1"/>
  <c r="I17" i="4" s="1"/>
  <c r="J17" i="4" s="1"/>
  <c r="K17" i="4" s="1"/>
  <c r="L17" i="4" s="1"/>
  <c r="M17" i="4" s="1"/>
  <c r="C18" i="4"/>
  <c r="D18" i="4" s="1"/>
  <c r="E18" i="4" s="1"/>
  <c r="F18" i="4" s="1"/>
  <c r="G18" i="4" s="1"/>
  <c r="H18" i="4" s="1"/>
  <c r="I18" i="4" s="1"/>
  <c r="J18" i="4" s="1"/>
  <c r="K18" i="4" s="1"/>
  <c r="L18" i="4" s="1"/>
  <c r="M18" i="4" s="1"/>
  <c r="A19" i="4"/>
  <c r="A52" i="4" s="1"/>
  <c r="B19" i="4"/>
  <c r="C19" i="4" s="1"/>
  <c r="D19" i="4" s="1"/>
  <c r="E19" i="4" s="1"/>
  <c r="F19" i="4" s="1"/>
  <c r="G19" i="4" s="1"/>
  <c r="H19" i="4" s="1"/>
  <c r="I19" i="4" s="1"/>
  <c r="J19" i="4" s="1"/>
  <c r="K19" i="4" s="1"/>
  <c r="L19" i="4" s="1"/>
  <c r="M19" i="4" s="1"/>
  <c r="C20" i="4"/>
  <c r="D20" i="4" s="1"/>
  <c r="E20" i="4" s="1"/>
  <c r="F20" i="4" s="1"/>
  <c r="G20" i="4" s="1"/>
  <c r="H20" i="4" s="1"/>
  <c r="I20" i="4" s="1"/>
  <c r="J20" i="4" s="1"/>
  <c r="K20" i="4" s="1"/>
  <c r="L20" i="4" s="1"/>
  <c r="M20" i="4" s="1"/>
  <c r="C21" i="4"/>
  <c r="D21" i="4" s="1"/>
  <c r="E21" i="4" s="1"/>
  <c r="F21" i="4" s="1"/>
  <c r="G21" i="4" s="1"/>
  <c r="H21" i="4" s="1"/>
  <c r="I21" i="4" s="1"/>
  <c r="J21" i="4" s="1"/>
  <c r="K21" i="4" s="1"/>
  <c r="L21" i="4" s="1"/>
  <c r="M21" i="4" s="1"/>
  <c r="C22" i="4"/>
  <c r="D22" i="4" s="1"/>
  <c r="E22" i="4" s="1"/>
  <c r="F22" i="4" s="1"/>
  <c r="G22" i="4" s="1"/>
  <c r="H22" i="4" s="1"/>
  <c r="I22" i="4" s="1"/>
  <c r="J22" i="4" s="1"/>
  <c r="K22" i="4" s="1"/>
  <c r="L22" i="4" s="1"/>
  <c r="M22" i="4" s="1"/>
  <c r="A23" i="4"/>
  <c r="B23" i="4"/>
  <c r="C23" i="4" s="1"/>
  <c r="D23" i="4" s="1"/>
  <c r="E23" i="4" s="1"/>
  <c r="F23" i="4" s="1"/>
  <c r="G23" i="4" s="1"/>
  <c r="H23" i="4" s="1"/>
  <c r="I23" i="4" s="1"/>
  <c r="J23" i="4" s="1"/>
  <c r="K23" i="4" s="1"/>
  <c r="L23" i="4" s="1"/>
  <c r="M23" i="4" s="1"/>
  <c r="C30" i="4"/>
  <c r="D30" i="4" s="1"/>
  <c r="E30" i="4" s="1"/>
  <c r="F30" i="4" s="1"/>
  <c r="G30" i="4" s="1"/>
  <c r="H30" i="4" s="1"/>
  <c r="I30" i="4" s="1"/>
  <c r="J30" i="4" s="1"/>
  <c r="K30" i="4" s="1"/>
  <c r="L30" i="4" s="1"/>
  <c r="M30" i="4" s="1"/>
  <c r="C31" i="4"/>
  <c r="D31" i="4" s="1"/>
  <c r="E31" i="4" s="1"/>
  <c r="F31" i="4" s="1"/>
  <c r="G31" i="4" s="1"/>
  <c r="H31" i="4" s="1"/>
  <c r="I31" i="4" s="1"/>
  <c r="J31" i="4" s="1"/>
  <c r="K31" i="4" s="1"/>
  <c r="L31" i="4" s="1"/>
  <c r="M31" i="4" s="1"/>
  <c r="C32" i="4"/>
  <c r="D32" i="4" s="1"/>
  <c r="E32" i="4" s="1"/>
  <c r="F32" i="4" s="1"/>
  <c r="G32" i="4" s="1"/>
  <c r="H32" i="4" s="1"/>
  <c r="I32" i="4" s="1"/>
  <c r="J32" i="4" s="1"/>
  <c r="K32" i="4" s="1"/>
  <c r="L32" i="4" s="1"/>
  <c r="M32" i="4" s="1"/>
  <c r="C33" i="4"/>
  <c r="D33" i="4" s="1"/>
  <c r="E33" i="4" s="1"/>
  <c r="F33" i="4" s="1"/>
  <c r="G33" i="4" s="1"/>
  <c r="H33" i="4" s="1"/>
  <c r="I33" i="4" s="1"/>
  <c r="J33" i="4" s="1"/>
  <c r="K33" i="4" s="1"/>
  <c r="L33" i="4" s="1"/>
  <c r="M33" i="4" s="1"/>
  <c r="A42" i="4"/>
  <c r="A43" i="4"/>
  <c r="C43" i="4"/>
  <c r="D43" i="4" s="1"/>
  <c r="E43" i="4" s="1"/>
  <c r="F43" i="4" s="1"/>
  <c r="A44" i="4"/>
  <c r="C44" i="4"/>
  <c r="D44" i="4" s="1"/>
  <c r="E44" i="4" s="1"/>
  <c r="F44" i="4" s="1"/>
  <c r="G44" i="4" s="1"/>
  <c r="H44" i="4" s="1"/>
  <c r="I44" i="4" s="1"/>
  <c r="J44" i="4" s="1"/>
  <c r="K44" i="4" s="1"/>
  <c r="L44" i="4" s="1"/>
  <c r="M44" i="4" s="1"/>
  <c r="A45" i="4"/>
  <c r="C45" i="4"/>
  <c r="D45" i="4" s="1"/>
  <c r="E45" i="4" s="1"/>
  <c r="F45" i="4" s="1"/>
  <c r="G45" i="4" s="1"/>
  <c r="H45" i="4" s="1"/>
  <c r="I45" i="4" s="1"/>
  <c r="J45" i="4" s="1"/>
  <c r="K45" i="4" s="1"/>
  <c r="L45" i="4" s="1"/>
  <c r="M45" i="4" s="1"/>
  <c r="A46" i="4"/>
  <c r="C46" i="4"/>
  <c r="D46" i="4" s="1"/>
  <c r="E46" i="4" s="1"/>
  <c r="A47" i="4"/>
  <c r="A48" i="4"/>
  <c r="C48" i="4"/>
  <c r="D48" i="4" s="1"/>
  <c r="E48" i="4" s="1"/>
  <c r="F48" i="4" s="1"/>
  <c r="G48" i="4" s="1"/>
  <c r="H48" i="4" s="1"/>
  <c r="I48" i="4" s="1"/>
  <c r="J48" i="4" s="1"/>
  <c r="K48" i="4" s="1"/>
  <c r="L48" i="4" s="1"/>
  <c r="M48" i="4" s="1"/>
  <c r="A49" i="4"/>
  <c r="C49" i="4"/>
  <c r="D49" i="4" s="1"/>
  <c r="E49" i="4" s="1"/>
  <c r="F49" i="4" s="1"/>
  <c r="G49" i="4" s="1"/>
  <c r="H49" i="4" s="1"/>
  <c r="I49" i="4" s="1"/>
  <c r="J49" i="4" s="1"/>
  <c r="K49" i="4" s="1"/>
  <c r="L49" i="4" s="1"/>
  <c r="M49" i="4" s="1"/>
  <c r="A50" i="4"/>
  <c r="C50" i="4"/>
  <c r="D50" i="4" s="1"/>
  <c r="E50" i="4" s="1"/>
  <c r="F50" i="4" s="1"/>
  <c r="G50" i="4" s="1"/>
  <c r="H50" i="4" s="1"/>
  <c r="I50" i="4" s="1"/>
  <c r="J50" i="4" s="1"/>
  <c r="K50" i="4" s="1"/>
  <c r="L50" i="4" s="1"/>
  <c r="M50" i="4" s="1"/>
  <c r="A51" i="4"/>
  <c r="C51" i="4"/>
  <c r="D51" i="4" s="1"/>
  <c r="E51" i="4" s="1"/>
  <c r="F51" i="4" s="1"/>
  <c r="G51" i="4" s="1"/>
  <c r="H51" i="4" s="1"/>
  <c r="I51" i="4" s="1"/>
  <c r="J51" i="4" s="1"/>
  <c r="K51" i="4" s="1"/>
  <c r="L51" i="4" s="1"/>
  <c r="M51" i="4" s="1"/>
  <c r="B52" i="4"/>
  <c r="C52" i="4" s="1"/>
  <c r="D52" i="4" s="1"/>
  <c r="E52" i="4" s="1"/>
  <c r="F52" i="4" s="1"/>
  <c r="G52" i="4" s="1"/>
  <c r="H52" i="4" s="1"/>
  <c r="I52" i="4" s="1"/>
  <c r="J52" i="4" s="1"/>
  <c r="K52" i="4" s="1"/>
  <c r="L52" i="4" s="1"/>
  <c r="M52" i="4" s="1"/>
  <c r="A53" i="4"/>
  <c r="C53" i="4"/>
  <c r="D53" i="4" s="1"/>
  <c r="E53" i="4" s="1"/>
  <c r="F53" i="4" s="1"/>
  <c r="G53" i="4" s="1"/>
  <c r="H53" i="4" s="1"/>
  <c r="I53" i="4" s="1"/>
  <c r="J53" i="4" s="1"/>
  <c r="K53" i="4" s="1"/>
  <c r="L53" i="4" s="1"/>
  <c r="M53" i="4" s="1"/>
  <c r="A54" i="4"/>
  <c r="C54" i="4"/>
  <c r="D54" i="4" s="1"/>
  <c r="E54" i="4" s="1"/>
  <c r="F54" i="4" s="1"/>
  <c r="G54" i="4" s="1"/>
  <c r="H54" i="4" s="1"/>
  <c r="I54" i="4" s="1"/>
  <c r="J54" i="4" s="1"/>
  <c r="K54" i="4" s="1"/>
  <c r="L54" i="4" s="1"/>
  <c r="M54" i="4" s="1"/>
  <c r="A55" i="4"/>
  <c r="C55" i="4"/>
  <c r="D55" i="4"/>
  <c r="E55" i="4" s="1"/>
  <c r="F55" i="4" s="1"/>
  <c r="G55" i="4" s="1"/>
  <c r="H55" i="4" s="1"/>
  <c r="I55" i="4" s="1"/>
  <c r="J55" i="4" s="1"/>
  <c r="K55" i="4" s="1"/>
  <c r="L55" i="4" s="1"/>
  <c r="M55" i="4" s="1"/>
  <c r="A56" i="4"/>
  <c r="B56" i="4"/>
  <c r="C56" i="4" s="1"/>
  <c r="D56" i="4" s="1"/>
  <c r="E56" i="4" s="1"/>
  <c r="F56" i="4" s="1"/>
  <c r="G56" i="4" s="1"/>
  <c r="H56" i="4" s="1"/>
  <c r="I56" i="4" s="1"/>
  <c r="J56" i="4" s="1"/>
  <c r="K56" i="4" s="1"/>
  <c r="L56" i="4" s="1"/>
  <c r="M56" i="4" s="1"/>
  <c r="A57" i="4"/>
  <c r="A58" i="4"/>
  <c r="C58" i="4"/>
  <c r="D58" i="4" s="1"/>
  <c r="E58" i="4" s="1"/>
  <c r="F58" i="4" s="1"/>
  <c r="G58" i="4" s="1"/>
  <c r="H58" i="4" s="1"/>
  <c r="I58" i="4" s="1"/>
  <c r="J58" i="4" s="1"/>
  <c r="K58" i="4" s="1"/>
  <c r="L58" i="4" s="1"/>
  <c r="M58" i="4" s="1"/>
  <c r="A59" i="4"/>
  <c r="A60" i="4"/>
  <c r="C60" i="4"/>
  <c r="D60" i="4" s="1"/>
  <c r="E60" i="4" s="1"/>
  <c r="F60" i="4" s="1"/>
  <c r="G60" i="4" s="1"/>
  <c r="H60" i="4" s="1"/>
  <c r="I60" i="4" s="1"/>
  <c r="J60" i="4" s="1"/>
  <c r="K60" i="4" s="1"/>
  <c r="L60" i="4" s="1"/>
  <c r="M60" i="4" s="1"/>
  <c r="A61" i="4"/>
  <c r="A62" i="4"/>
  <c r="C62" i="4"/>
  <c r="D62" i="4" s="1"/>
  <c r="E62" i="4" s="1"/>
  <c r="F62" i="4" s="1"/>
  <c r="G62" i="4" s="1"/>
  <c r="H62" i="4" s="1"/>
  <c r="I62" i="4" s="1"/>
  <c r="J62" i="4" s="1"/>
  <c r="K62" i="4" s="1"/>
  <c r="L62" i="4" s="1"/>
  <c r="M62" i="4" s="1"/>
  <c r="A63" i="4"/>
  <c r="A64" i="4"/>
  <c r="A65" i="4"/>
  <c r="A66" i="4"/>
  <c r="A78" i="4"/>
  <c r="A79" i="4"/>
  <c r="C79" i="4"/>
  <c r="D79" i="4" s="1"/>
  <c r="E79" i="4" s="1"/>
  <c r="F79" i="4" s="1"/>
  <c r="G79" i="4" s="1"/>
  <c r="H79" i="4" s="1"/>
  <c r="I79" i="4" s="1"/>
  <c r="J79" i="4" s="1"/>
  <c r="K79" i="4" s="1"/>
  <c r="L79" i="4" s="1"/>
  <c r="M79" i="4" s="1"/>
  <c r="A80" i="4"/>
  <c r="C80" i="4"/>
  <c r="D80" i="4" s="1"/>
  <c r="E80" i="4" s="1"/>
  <c r="F80" i="4" s="1"/>
  <c r="G80" i="4" s="1"/>
  <c r="H80" i="4" s="1"/>
  <c r="I80" i="4" s="1"/>
  <c r="J80" i="4" s="1"/>
  <c r="K80" i="4" s="1"/>
  <c r="L80" i="4" s="1"/>
  <c r="M80" i="4" s="1"/>
  <c r="A81" i="4"/>
  <c r="A82" i="4"/>
  <c r="A83" i="4"/>
  <c r="A84" i="4"/>
  <c r="C84" i="4"/>
  <c r="D84" i="4" s="1"/>
  <c r="E84" i="4" s="1"/>
  <c r="F84" i="4" s="1"/>
  <c r="G84" i="4" s="1"/>
  <c r="H84" i="4" s="1"/>
  <c r="I84" i="4" s="1"/>
  <c r="J84" i="4" s="1"/>
  <c r="K84" i="4" s="1"/>
  <c r="L84" i="4" s="1"/>
  <c r="M84" i="4" s="1"/>
  <c r="A85" i="4"/>
  <c r="C85" i="4"/>
  <c r="D85" i="4" s="1"/>
  <c r="E85" i="4" s="1"/>
  <c r="F85" i="4" s="1"/>
  <c r="G85" i="4" s="1"/>
  <c r="H85" i="4" s="1"/>
  <c r="I85" i="4" s="1"/>
  <c r="J85" i="4" s="1"/>
  <c r="K85" i="4" s="1"/>
  <c r="L85" i="4" s="1"/>
  <c r="M85" i="4" s="1"/>
  <c r="A86" i="4"/>
  <c r="C86" i="4"/>
  <c r="D86" i="4" s="1"/>
  <c r="E86" i="4" s="1"/>
  <c r="F86" i="4" s="1"/>
  <c r="G86" i="4" s="1"/>
  <c r="H86" i="4" s="1"/>
  <c r="I86" i="4" s="1"/>
  <c r="J86" i="4" s="1"/>
  <c r="K86" i="4" s="1"/>
  <c r="L86" i="4" s="1"/>
  <c r="M86" i="4" s="1"/>
  <c r="A87" i="4"/>
  <c r="C87" i="4"/>
  <c r="D87" i="4" s="1"/>
  <c r="E87" i="4" s="1"/>
  <c r="F87" i="4" s="1"/>
  <c r="G87" i="4" s="1"/>
  <c r="H87" i="4" s="1"/>
  <c r="I87" i="4" s="1"/>
  <c r="J87" i="4" s="1"/>
  <c r="K87" i="4" s="1"/>
  <c r="L87" i="4" s="1"/>
  <c r="M87" i="4" s="1"/>
  <c r="B88" i="4"/>
  <c r="C88" i="4" s="1"/>
  <c r="D88" i="4" s="1"/>
  <c r="E88" i="4" s="1"/>
  <c r="F88" i="4" s="1"/>
  <c r="G88" i="4" s="1"/>
  <c r="H88" i="4" s="1"/>
  <c r="I88" i="4" s="1"/>
  <c r="J88" i="4" s="1"/>
  <c r="K88" i="4" s="1"/>
  <c r="L88" i="4" s="1"/>
  <c r="M88" i="4" s="1"/>
  <c r="A89" i="4"/>
  <c r="C89" i="4"/>
  <c r="D89" i="4" s="1"/>
  <c r="E89" i="4" s="1"/>
  <c r="F89" i="4" s="1"/>
  <c r="G89" i="4" s="1"/>
  <c r="H89" i="4" s="1"/>
  <c r="I89" i="4" s="1"/>
  <c r="J89" i="4" s="1"/>
  <c r="K89" i="4" s="1"/>
  <c r="L89" i="4" s="1"/>
  <c r="M89" i="4" s="1"/>
  <c r="A90" i="4"/>
  <c r="C90" i="4"/>
  <c r="D90" i="4" s="1"/>
  <c r="E90" i="4" s="1"/>
  <c r="F90" i="4" s="1"/>
  <c r="G90" i="4" s="1"/>
  <c r="H90" i="4" s="1"/>
  <c r="I90" i="4" s="1"/>
  <c r="J90" i="4" s="1"/>
  <c r="K90" i="4" s="1"/>
  <c r="L90" i="4" s="1"/>
  <c r="M90" i="4" s="1"/>
  <c r="A91" i="4"/>
  <c r="C91" i="4"/>
  <c r="D91" i="4" s="1"/>
  <c r="E91" i="4" s="1"/>
  <c r="F91" i="4" s="1"/>
  <c r="G91" i="4" s="1"/>
  <c r="H91" i="4" s="1"/>
  <c r="I91" i="4" s="1"/>
  <c r="J91" i="4" s="1"/>
  <c r="K91" i="4" s="1"/>
  <c r="L91" i="4" s="1"/>
  <c r="M91" i="4" s="1"/>
  <c r="A92" i="4"/>
  <c r="B92" i="4"/>
  <c r="C92" i="4" s="1"/>
  <c r="D92" i="4" s="1"/>
  <c r="E92" i="4" s="1"/>
  <c r="F92" i="4" s="1"/>
  <c r="G92" i="4" s="1"/>
  <c r="H92" i="4" s="1"/>
  <c r="I92" i="4" s="1"/>
  <c r="J92" i="4" s="1"/>
  <c r="K92" i="4" s="1"/>
  <c r="L92" i="4" s="1"/>
  <c r="M92" i="4" s="1"/>
  <c r="A93" i="4"/>
  <c r="A94" i="4"/>
  <c r="A95" i="4"/>
  <c r="A96" i="4"/>
  <c r="A97" i="4"/>
  <c r="A98" i="4"/>
  <c r="A99" i="4"/>
  <c r="C99" i="4"/>
  <c r="D99" i="4" s="1"/>
  <c r="E99" i="4" s="1"/>
  <c r="F99" i="4" s="1"/>
  <c r="G99" i="4" s="1"/>
  <c r="H99" i="4" s="1"/>
  <c r="I99" i="4" s="1"/>
  <c r="J99" i="4" s="1"/>
  <c r="K99" i="4" s="1"/>
  <c r="L99" i="4" s="1"/>
  <c r="M99" i="4" s="1"/>
  <c r="A100" i="4"/>
  <c r="C100" i="4"/>
  <c r="D100" i="4" s="1"/>
  <c r="E100" i="4" s="1"/>
  <c r="F100" i="4" s="1"/>
  <c r="G100" i="4" s="1"/>
  <c r="H100" i="4" s="1"/>
  <c r="I100" i="4" s="1"/>
  <c r="J100" i="4" s="1"/>
  <c r="K100" i="4" s="1"/>
  <c r="L100" i="4" s="1"/>
  <c r="M100" i="4" s="1"/>
  <c r="A101" i="4"/>
  <c r="C101" i="4"/>
  <c r="D101" i="4" s="1"/>
  <c r="E101" i="4" s="1"/>
  <c r="F101" i="4" s="1"/>
  <c r="G101" i="4" s="1"/>
  <c r="H101" i="4" s="1"/>
  <c r="I101" i="4" s="1"/>
  <c r="J101" i="4" s="1"/>
  <c r="K101" i="4" s="1"/>
  <c r="L101" i="4" s="1"/>
  <c r="M101" i="4" s="1"/>
  <c r="A102" i="4"/>
  <c r="A113" i="4"/>
  <c r="A114" i="4"/>
  <c r="C114" i="4"/>
  <c r="D114" i="4" s="1"/>
  <c r="E114" i="4" s="1"/>
  <c r="F114" i="4" s="1"/>
  <c r="G114" i="4" s="1"/>
  <c r="H114" i="4" s="1"/>
  <c r="I114" i="4" s="1"/>
  <c r="J114" i="4" s="1"/>
  <c r="K114" i="4" s="1"/>
  <c r="L114" i="4" s="1"/>
  <c r="M114" i="4" s="1"/>
  <c r="A115" i="4"/>
  <c r="C115" i="4"/>
  <c r="D115" i="4" s="1"/>
  <c r="E115" i="4" s="1"/>
  <c r="F115" i="4" s="1"/>
  <c r="G115" i="4" s="1"/>
  <c r="H115" i="4" s="1"/>
  <c r="I115" i="4" s="1"/>
  <c r="J115" i="4" s="1"/>
  <c r="K115" i="4" s="1"/>
  <c r="L115" i="4" s="1"/>
  <c r="M115" i="4" s="1"/>
  <c r="A116" i="4"/>
  <c r="C116" i="4"/>
  <c r="D116" i="4" s="1"/>
  <c r="E116" i="4" s="1"/>
  <c r="F116" i="4" s="1"/>
  <c r="G116" i="4" s="1"/>
  <c r="H116" i="4" s="1"/>
  <c r="I116" i="4" s="1"/>
  <c r="J116" i="4" s="1"/>
  <c r="K116" i="4" s="1"/>
  <c r="L116" i="4" s="1"/>
  <c r="M116" i="4" s="1"/>
  <c r="A117" i="4"/>
  <c r="C117" i="4"/>
  <c r="D117" i="4" s="1"/>
  <c r="E117" i="4" s="1"/>
  <c r="F117" i="4" s="1"/>
  <c r="G117" i="4" s="1"/>
  <c r="H117" i="4" s="1"/>
  <c r="I117" i="4" s="1"/>
  <c r="J117" i="4" s="1"/>
  <c r="K117" i="4" s="1"/>
  <c r="L117" i="4" s="1"/>
  <c r="M117" i="4" s="1"/>
  <c r="A118" i="4"/>
  <c r="A119" i="4"/>
  <c r="C119" i="4"/>
  <c r="D119" i="4" s="1"/>
  <c r="E119" i="4" s="1"/>
  <c r="F119" i="4" s="1"/>
  <c r="G119" i="4" s="1"/>
  <c r="H119" i="4" s="1"/>
  <c r="I119" i="4" s="1"/>
  <c r="J119" i="4" s="1"/>
  <c r="K119" i="4" s="1"/>
  <c r="L119" i="4" s="1"/>
  <c r="M119" i="4" s="1"/>
  <c r="A120" i="4"/>
  <c r="C120" i="4"/>
  <c r="D120" i="4" s="1"/>
  <c r="E120" i="4" s="1"/>
  <c r="F120" i="4" s="1"/>
  <c r="G120" i="4" s="1"/>
  <c r="H120" i="4" s="1"/>
  <c r="I120" i="4" s="1"/>
  <c r="J120" i="4" s="1"/>
  <c r="K120" i="4" s="1"/>
  <c r="L120" i="4" s="1"/>
  <c r="M120" i="4" s="1"/>
  <c r="A121" i="4"/>
  <c r="C121" i="4"/>
  <c r="D121" i="4" s="1"/>
  <c r="E121" i="4" s="1"/>
  <c r="F121" i="4" s="1"/>
  <c r="G121" i="4" s="1"/>
  <c r="H121" i="4" s="1"/>
  <c r="I121" i="4" s="1"/>
  <c r="J121" i="4" s="1"/>
  <c r="K121" i="4" s="1"/>
  <c r="L121" i="4" s="1"/>
  <c r="M121" i="4" s="1"/>
  <c r="A122" i="4"/>
  <c r="C122" i="4"/>
  <c r="D122" i="4" s="1"/>
  <c r="E122" i="4" s="1"/>
  <c r="F122" i="4" s="1"/>
  <c r="G122" i="4" s="1"/>
  <c r="H122" i="4" s="1"/>
  <c r="I122" i="4" s="1"/>
  <c r="J122" i="4" s="1"/>
  <c r="K122" i="4" s="1"/>
  <c r="L122" i="4" s="1"/>
  <c r="M122" i="4" s="1"/>
  <c r="B123" i="4"/>
  <c r="C123" i="4" s="1"/>
  <c r="D123" i="4" s="1"/>
  <c r="E123" i="4" s="1"/>
  <c r="F123" i="4" s="1"/>
  <c r="G123" i="4" s="1"/>
  <c r="H123" i="4" s="1"/>
  <c r="I123" i="4" s="1"/>
  <c r="J123" i="4" s="1"/>
  <c r="K123" i="4" s="1"/>
  <c r="L123" i="4" s="1"/>
  <c r="M123" i="4" s="1"/>
  <c r="A124" i="4"/>
  <c r="C124" i="4"/>
  <c r="D124" i="4" s="1"/>
  <c r="E124" i="4" s="1"/>
  <c r="F124" i="4" s="1"/>
  <c r="G124" i="4" s="1"/>
  <c r="H124" i="4" s="1"/>
  <c r="I124" i="4" s="1"/>
  <c r="J124" i="4" s="1"/>
  <c r="K124" i="4" s="1"/>
  <c r="L124" i="4" s="1"/>
  <c r="M124" i="4" s="1"/>
  <c r="A125" i="4"/>
  <c r="C125" i="4"/>
  <c r="D125" i="4" s="1"/>
  <c r="E125" i="4" s="1"/>
  <c r="F125" i="4" s="1"/>
  <c r="G125" i="4" s="1"/>
  <c r="H125" i="4" s="1"/>
  <c r="I125" i="4" s="1"/>
  <c r="J125" i="4" s="1"/>
  <c r="K125" i="4" s="1"/>
  <c r="L125" i="4" s="1"/>
  <c r="M125" i="4" s="1"/>
  <c r="A126" i="4"/>
  <c r="C126" i="4"/>
  <c r="D126" i="4" s="1"/>
  <c r="E126" i="4" s="1"/>
  <c r="F126" i="4" s="1"/>
  <c r="G126" i="4" s="1"/>
  <c r="H126" i="4" s="1"/>
  <c r="I126" i="4" s="1"/>
  <c r="J126" i="4" s="1"/>
  <c r="K126" i="4" s="1"/>
  <c r="L126" i="4" s="1"/>
  <c r="M126" i="4" s="1"/>
  <c r="A127" i="4"/>
  <c r="B127" i="4"/>
  <c r="C127" i="4" s="1"/>
  <c r="D127" i="4" s="1"/>
  <c r="E127" i="4" s="1"/>
  <c r="F127" i="4" s="1"/>
  <c r="G127" i="4" s="1"/>
  <c r="H127" i="4" s="1"/>
  <c r="I127" i="4" s="1"/>
  <c r="J127" i="4" s="1"/>
  <c r="K127" i="4" s="1"/>
  <c r="L127" i="4" s="1"/>
  <c r="M127" i="4" s="1"/>
  <c r="A128" i="4"/>
  <c r="A129" i="4"/>
  <c r="C129" i="4"/>
  <c r="D129" i="4" s="1"/>
  <c r="E129" i="4" s="1"/>
  <c r="F129" i="4" s="1"/>
  <c r="G129" i="4" s="1"/>
  <c r="H129" i="4" s="1"/>
  <c r="I129" i="4" s="1"/>
  <c r="J129" i="4" s="1"/>
  <c r="K129" i="4" s="1"/>
  <c r="L129" i="4" s="1"/>
  <c r="M129" i="4" s="1"/>
  <c r="A130" i="4"/>
  <c r="A131" i="4"/>
  <c r="C131" i="4"/>
  <c r="D131" i="4" s="1"/>
  <c r="E131" i="4" s="1"/>
  <c r="F131" i="4" s="1"/>
  <c r="G131" i="4" s="1"/>
  <c r="H131" i="4" s="1"/>
  <c r="I131" i="4" s="1"/>
  <c r="J131" i="4" s="1"/>
  <c r="K131" i="4" s="1"/>
  <c r="L131" i="4" s="1"/>
  <c r="M131" i="4" s="1"/>
  <c r="A132" i="4"/>
  <c r="C132" i="4"/>
  <c r="D132" i="4" s="1"/>
  <c r="E132" i="4" s="1"/>
  <c r="F132" i="4" s="1"/>
  <c r="G132" i="4" s="1"/>
  <c r="H132" i="4" s="1"/>
  <c r="I132" i="4" s="1"/>
  <c r="J132" i="4" s="1"/>
  <c r="K132" i="4" s="1"/>
  <c r="L132" i="4" s="1"/>
  <c r="M132" i="4" s="1"/>
  <c r="A133" i="4"/>
  <c r="C133" i="4"/>
  <c r="D133" i="4" s="1"/>
  <c r="E133" i="4" s="1"/>
  <c r="F133" i="4" s="1"/>
  <c r="G133" i="4" s="1"/>
  <c r="H133" i="4" s="1"/>
  <c r="I133" i="4" s="1"/>
  <c r="J133" i="4" s="1"/>
  <c r="K133" i="4" s="1"/>
  <c r="L133" i="4" s="1"/>
  <c r="M133" i="4" s="1"/>
  <c r="A134" i="4"/>
  <c r="A135" i="4"/>
  <c r="A136" i="4"/>
  <c r="A137" i="4"/>
  <c r="F46" i="4" l="1"/>
  <c r="G46" i="4" s="1"/>
  <c r="H46" i="4" s="1"/>
  <c r="I46" i="4" s="1"/>
  <c r="J46" i="4" s="1"/>
  <c r="K46" i="4" s="1"/>
  <c r="L46" i="4" s="1"/>
  <c r="M46" i="4" s="1"/>
  <c r="A123" i="4"/>
  <c r="A88" i="4"/>
  <c r="B67" i="4"/>
  <c r="B39" i="4"/>
  <c r="C39" i="4"/>
  <c r="C75" i="4" s="1"/>
  <c r="C110" i="4" s="1"/>
  <c r="G43" i="4"/>
  <c r="F67" i="4"/>
  <c r="C34" i="4"/>
  <c r="D67" i="4"/>
  <c r="B34" i="4"/>
  <c r="E6" i="4"/>
  <c r="E67" i="4"/>
  <c r="D34" i="4"/>
  <c r="E11" i="4"/>
  <c r="C67" i="4"/>
  <c r="B75" i="4" l="1"/>
  <c r="B110" i="4" s="1"/>
  <c r="F6" i="4"/>
  <c r="E39" i="4"/>
  <c r="E34" i="4"/>
  <c r="F11" i="4"/>
  <c r="H43" i="4"/>
  <c r="G67" i="4"/>
  <c r="E75" i="4" l="1"/>
  <c r="E110" i="4" s="1"/>
  <c r="G11" i="4"/>
  <c r="F34" i="4"/>
  <c r="I43" i="4"/>
  <c r="H67" i="4"/>
  <c r="G6" i="4"/>
  <c r="F39" i="4"/>
  <c r="F75" i="4" l="1"/>
  <c r="F110" i="4" s="1"/>
  <c r="I67" i="4"/>
  <c r="J43" i="4"/>
  <c r="G39" i="4"/>
  <c r="H6" i="4"/>
  <c r="H11" i="4"/>
  <c r="G34" i="4"/>
  <c r="G75" i="4" l="1"/>
  <c r="G110" i="4" s="1"/>
  <c r="K43" i="4"/>
  <c r="J67" i="4"/>
  <c r="H39" i="4"/>
  <c r="I6" i="4"/>
  <c r="H34" i="4"/>
  <c r="I11" i="4"/>
  <c r="H75" i="4" l="1"/>
  <c r="H110" i="4" s="1"/>
  <c r="I34" i="4"/>
  <c r="J11" i="4"/>
  <c r="J6" i="4"/>
  <c r="I39" i="4"/>
  <c r="L43" i="4"/>
  <c r="K67" i="4"/>
  <c r="I75" i="4" l="1"/>
  <c r="I110" i="4" s="1"/>
  <c r="K11" i="4"/>
  <c r="J34" i="4"/>
  <c r="K6" i="4"/>
  <c r="J39" i="4"/>
  <c r="L67" i="4"/>
  <c r="M43" i="4"/>
  <c r="M67" i="4" s="1"/>
  <c r="J75" i="4" l="1"/>
  <c r="J110" i="4" s="1"/>
  <c r="L6" i="4"/>
  <c r="K39" i="4"/>
  <c r="K75" i="4" s="1"/>
  <c r="K110" i="4" s="1"/>
  <c r="L11" i="4"/>
  <c r="K34" i="4"/>
  <c r="L34" i="4" l="1"/>
  <c r="M11" i="4"/>
  <c r="M34" i="4" s="1"/>
  <c r="L39" i="4"/>
  <c r="L75" i="4" s="1"/>
  <c r="L110" i="4" s="1"/>
  <c r="M6" i="4"/>
  <c r="M39" i="4" l="1"/>
  <c r="AB5" i="1"/>
  <c r="X5" i="1"/>
  <c r="A7" i="3" l="1"/>
  <c r="M75" i="4"/>
  <c r="M110" i="4" s="1"/>
  <c r="AC9" i="3"/>
  <c r="AC30" i="3"/>
  <c r="K16" i="3" l="1"/>
  <c r="BJ3" i="1"/>
  <c r="AR11" i="1"/>
  <c r="AL15" i="1" s="1"/>
  <c r="P19" i="1"/>
  <c r="A20" i="1"/>
  <c r="AB20" i="1"/>
  <c r="B13" i="2" s="1"/>
  <c r="D9" i="2" s="1"/>
  <c r="AC20" i="1"/>
  <c r="AN20" i="1"/>
  <c r="AB21" i="1"/>
  <c r="B14" i="2" s="1"/>
  <c r="AC21" i="1"/>
  <c r="AN21" i="1"/>
  <c r="AB22" i="1"/>
  <c r="B15" i="2" s="1"/>
  <c r="AC22" i="1"/>
  <c r="AN22" i="1"/>
  <c r="P23" i="1"/>
  <c r="AB23" i="1"/>
  <c r="B16" i="2" s="1"/>
  <c r="AC23" i="1"/>
  <c r="AN23" i="1"/>
  <c r="AB24" i="1"/>
  <c r="B17" i="2" s="1"/>
  <c r="AC24" i="1"/>
  <c r="AN24" i="1"/>
  <c r="AB25" i="1"/>
  <c r="B18" i="2" s="1"/>
  <c r="AC25" i="1"/>
  <c r="AN25" i="1"/>
  <c r="AB26" i="1"/>
  <c r="B19" i="2" s="1"/>
  <c r="AC26" i="1"/>
  <c r="AN26" i="1"/>
  <c r="H32" i="3"/>
  <c r="AB27" i="1"/>
  <c r="B20" i="2" s="1"/>
  <c r="AC27" i="1"/>
  <c r="AN27" i="1"/>
  <c r="AB28" i="1"/>
  <c r="B21" i="2" s="1"/>
  <c r="AC28" i="1"/>
  <c r="AN28" i="1"/>
  <c r="H25" i="3"/>
  <c r="M27" i="3" s="1"/>
  <c r="AB29" i="1"/>
  <c r="B22" i="2" s="1"/>
  <c r="AC29" i="1"/>
  <c r="AN29" i="1"/>
  <c r="AB30" i="1"/>
  <c r="B23" i="2" s="1"/>
  <c r="AC30" i="1"/>
  <c r="AN30" i="1"/>
  <c r="AB31" i="1"/>
  <c r="B24" i="2" s="1"/>
  <c r="AC31" i="1"/>
  <c r="AN31" i="1"/>
  <c r="AB32" i="1"/>
  <c r="B25" i="2" s="1"/>
  <c r="AC32" i="1"/>
  <c r="AN32" i="1"/>
  <c r="AB33" i="1"/>
  <c r="B26" i="2" s="1"/>
  <c r="AC33" i="1"/>
  <c r="AN33" i="1"/>
  <c r="AB34" i="1"/>
  <c r="B27" i="2" s="1"/>
  <c r="AC34" i="1"/>
  <c r="AN34" i="1"/>
  <c r="AB35" i="1"/>
  <c r="B28" i="2" s="1"/>
  <c r="AC35" i="1"/>
  <c r="AN35" i="1"/>
  <c r="AB36" i="1"/>
  <c r="B29" i="2" s="1"/>
  <c r="AC36" i="1"/>
  <c r="AN36" i="1"/>
  <c r="B30" i="2"/>
  <c r="B31" i="2"/>
  <c r="B32" i="2"/>
  <c r="AB40" i="1"/>
  <c r="B33" i="2" s="1"/>
  <c r="AC40" i="1"/>
  <c r="AN40" i="1"/>
  <c r="AB41" i="1"/>
  <c r="B34" i="2" s="1"/>
  <c r="AC41" i="1"/>
  <c r="AN41" i="1"/>
  <c r="AB42" i="1"/>
  <c r="B35" i="2" s="1"/>
  <c r="AC42" i="1"/>
  <c r="AN42" i="1"/>
  <c r="AB43" i="1"/>
  <c r="B36" i="2" s="1"/>
  <c r="AC43" i="1"/>
  <c r="AN43" i="1"/>
  <c r="AB44" i="1"/>
  <c r="B37" i="2" s="1"/>
  <c r="AC44" i="1"/>
  <c r="AN44" i="1"/>
  <c r="AB45" i="1"/>
  <c r="B38" i="2" s="1"/>
  <c r="AC45" i="1"/>
  <c r="AN45" i="1"/>
  <c r="AB46" i="1"/>
  <c r="B39" i="2" s="1"/>
  <c r="AC46" i="1"/>
  <c r="AN46" i="1"/>
  <c r="AB47" i="1"/>
  <c r="B40" i="2" s="1"/>
  <c r="AC47" i="1"/>
  <c r="AN47" i="1"/>
  <c r="AB48" i="1"/>
  <c r="B41" i="2" s="1"/>
  <c r="AC48" i="1"/>
  <c r="AN48" i="1"/>
  <c r="AB49" i="1"/>
  <c r="B42" i="2" s="1"/>
  <c r="AC49" i="1"/>
  <c r="AN49" i="1"/>
  <c r="AB50" i="1"/>
  <c r="B43" i="2" s="1"/>
  <c r="AC50" i="1"/>
  <c r="AN50" i="1"/>
  <c r="AD51" i="1"/>
  <c r="L19" i="1" s="1"/>
  <c r="AG51" i="1"/>
  <c r="L22" i="1" s="1"/>
  <c r="AJ51" i="1"/>
  <c r="L23" i="1" s="1"/>
  <c r="N62" i="1"/>
  <c r="N63" i="1"/>
  <c r="N64" i="1"/>
  <c r="N65" i="1"/>
  <c r="N66" i="1"/>
  <c r="N68" i="1"/>
  <c r="V80" i="1"/>
  <c r="V81" i="1"/>
  <c r="AH82" i="1"/>
  <c r="AL82" i="1"/>
  <c r="F83" i="1"/>
  <c r="A3" i="3"/>
  <c r="B37" i="3"/>
  <c r="AL85" i="1" l="1"/>
  <c r="AL88" i="1" s="1"/>
  <c r="AH85" i="1"/>
  <c r="AH88" i="1" s="1"/>
  <c r="L34" i="3"/>
  <c r="B24" i="3"/>
  <c r="B22" i="3" s="1"/>
  <c r="E73" i="1"/>
  <c r="N69" i="1"/>
  <c r="AL68" i="1"/>
  <c r="L20" i="1"/>
  <c r="T23" i="1"/>
  <c r="AL67" i="1"/>
  <c r="AL66" i="1"/>
  <c r="T19" i="1"/>
  <c r="P22" i="1"/>
  <c r="T22" i="1" s="1"/>
  <c r="BJ4" i="1"/>
  <c r="B35" i="3"/>
  <c r="B33" i="3"/>
  <c r="B13" i="3"/>
  <c r="B11" i="3" s="1"/>
  <c r="B9" i="3"/>
  <c r="B5" i="3"/>
  <c r="P20" i="1" l="1"/>
  <c r="T20" i="1" s="1"/>
  <c r="P21" i="1"/>
  <c r="T21" i="1" s="1"/>
  <c r="BJ5" i="1"/>
  <c r="J6" i="2"/>
  <c r="E7" i="2"/>
  <c r="H11" i="2" s="1"/>
  <c r="E6" i="2"/>
  <c r="G18" i="2"/>
  <c r="G16" i="2"/>
  <c r="C45" i="2"/>
  <c r="D45" i="2"/>
  <c r="H20" i="2" s="1"/>
  <c r="I39" i="2" l="1"/>
  <c r="H23" i="2"/>
  <c r="I44" i="2"/>
  <c r="I35" i="2"/>
  <c r="I32" i="2"/>
  <c r="I43" i="2" s="1"/>
  <c r="L25" i="7" s="1"/>
  <c r="H39" i="2"/>
  <c r="I12" i="2"/>
  <c r="H44" i="2"/>
  <c r="H19" i="3"/>
  <c r="M21" i="3" s="1"/>
  <c r="BJ6" i="1"/>
  <c r="I11" i="2"/>
  <c r="H16" i="2" s="1"/>
  <c r="H35" i="2"/>
  <c r="G23" i="2"/>
  <c r="H32" i="2"/>
  <c r="L25" i="1" l="1"/>
  <c r="G29" i="2"/>
  <c r="B26" i="3"/>
  <c r="F29" i="3"/>
  <c r="H26" i="2"/>
  <c r="T24" i="7" s="1"/>
  <c r="G26" i="2"/>
  <c r="BJ7" i="1"/>
  <c r="B45" i="3"/>
  <c r="B41" i="3"/>
  <c r="B43" i="3"/>
  <c r="H29" i="2"/>
  <c r="T25" i="7" s="1"/>
  <c r="H43" i="2"/>
  <c r="I38" i="2"/>
  <c r="L24" i="7" s="1"/>
  <c r="P24" i="7" s="1"/>
  <c r="H38" i="2"/>
  <c r="B20" i="3"/>
  <c r="P25" i="7" l="1"/>
  <c r="E75" i="7"/>
  <c r="T33" i="7"/>
  <c r="T24" i="1"/>
  <c r="A29" i="3" s="1"/>
  <c r="L24" i="1"/>
  <c r="T25" i="1"/>
  <c r="A18" i="3" s="1"/>
  <c r="BJ8" i="1"/>
  <c r="H18" i="2"/>
  <c r="H21" i="2" s="1"/>
  <c r="P24" i="1" l="1"/>
  <c r="Z67" i="7"/>
  <c r="H49" i="7"/>
  <c r="K49" i="7" s="1"/>
  <c r="N49" i="7" s="1"/>
  <c r="H45" i="7"/>
  <c r="N45" i="7" s="1"/>
  <c r="R42" i="7"/>
  <c r="X42" i="7" s="1"/>
  <c r="R39" i="7"/>
  <c r="X39" i="7" s="1"/>
  <c r="R56" i="7"/>
  <c r="X56" i="7" s="1"/>
  <c r="R45" i="7"/>
  <c r="X45" i="7" s="1"/>
  <c r="R40" i="7"/>
  <c r="U40" i="7" s="1"/>
  <c r="X40" i="7" s="1"/>
  <c r="H39" i="7"/>
  <c r="N39" i="7" s="1"/>
  <c r="R50" i="7"/>
  <c r="X50" i="7" s="1"/>
  <c r="R54" i="7"/>
  <c r="X54" i="7" s="1"/>
  <c r="R38" i="7"/>
  <c r="X38" i="7" s="1"/>
  <c r="H38" i="7"/>
  <c r="N38" i="7" s="1"/>
  <c r="R48" i="7"/>
  <c r="X48" i="7" s="1"/>
  <c r="R52" i="7"/>
  <c r="X52" i="7" s="1"/>
  <c r="T33" i="1"/>
  <c r="R39" i="1" s="1"/>
  <c r="X39" i="1" s="1"/>
  <c r="B28" i="3"/>
  <c r="E75" i="1"/>
  <c r="B17" i="3"/>
  <c r="B15" i="3" s="1"/>
  <c r="P25" i="1"/>
  <c r="BJ9" i="1"/>
  <c r="B47" i="3"/>
  <c r="B39" i="3" s="1"/>
  <c r="X58" i="7" l="1"/>
  <c r="N58" i="7"/>
  <c r="H45" i="1"/>
  <c r="N45" i="1" s="1"/>
  <c r="R50" i="1"/>
  <c r="X50" i="1" s="1"/>
  <c r="H38" i="1"/>
  <c r="N38" i="1" s="1"/>
  <c r="H49" i="1"/>
  <c r="K49" i="1" s="1"/>
  <c r="N49" i="1" s="1"/>
  <c r="R52" i="1"/>
  <c r="X52" i="1" s="1"/>
  <c r="R45" i="1"/>
  <c r="X45" i="1" s="1"/>
  <c r="H39" i="1"/>
  <c r="N39" i="1" s="1"/>
  <c r="R54" i="1"/>
  <c r="X54" i="1" s="1"/>
  <c r="R38" i="1"/>
  <c r="X38" i="1" s="1"/>
  <c r="R40" i="1"/>
  <c r="U40" i="1" s="1"/>
  <c r="X40" i="1" s="1"/>
  <c r="R56" i="1"/>
  <c r="X56" i="1" s="1"/>
  <c r="R48" i="1"/>
  <c r="X48" i="1" s="1"/>
  <c r="R42" i="1"/>
  <c r="X42" i="1" s="1"/>
  <c r="Z67" i="1"/>
  <c r="BJ10" i="1"/>
  <c r="E72" i="7" l="1"/>
  <c r="N59" i="7"/>
  <c r="Q73" i="7"/>
  <c r="BJ11" i="1"/>
  <c r="AL74" i="7" l="1"/>
  <c r="Q75" i="7" s="1"/>
  <c r="E74" i="7" s="1"/>
  <c r="Q71" i="7"/>
  <c r="BJ12" i="1"/>
  <c r="Q79" i="7" l="1"/>
  <c r="F78" i="7" s="1"/>
  <c r="BJ13" i="1"/>
  <c r="B54" i="3" l="1"/>
  <c r="Z68" i="1"/>
  <c r="N58" i="1" l="1"/>
  <c r="E72" i="1" s="1"/>
  <c r="X58" i="1"/>
  <c r="N59" i="1" l="1"/>
  <c r="AL74" i="1" s="1"/>
  <c r="Q73" i="1"/>
  <c r="Q75" i="1" l="1"/>
  <c r="Q79" i="1" s="1"/>
  <c r="F78" i="1" s="1"/>
  <c r="Q71" i="1"/>
  <c r="B31" i="3"/>
  <c r="B52" i="3" s="1"/>
  <c r="B56" i="3" l="1"/>
  <c r="B58" i="3" s="1"/>
  <c r="E7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POUTEAU</author>
    <author>david</author>
    <author/>
  </authors>
  <commentList>
    <comment ref="X3" authorId="0" shapeId="0" xr:uid="{00000000-0006-0000-0000-000001000000}">
      <text>
        <r>
          <rPr>
            <b/>
            <sz val="9"/>
            <color indexed="81"/>
            <rFont val="Tahoma"/>
            <family val="2"/>
          </rPr>
          <t xml:space="preserve">Sélectionner le mois dans la liste déroulante
</t>
        </r>
      </text>
    </comment>
    <comment ref="AG18" authorId="1" shapeId="0" xr:uid="{00000000-0006-0000-0000-000002000000}">
      <text>
        <r>
          <rPr>
            <b/>
            <sz val="8"/>
            <color indexed="81"/>
            <rFont val="Tahoma"/>
            <family val="2"/>
          </rPr>
          <t>Heures complémentaires non prévues au contrat</t>
        </r>
      </text>
    </comment>
    <comment ref="AJ18" authorId="1" shapeId="0" xr:uid="{00000000-0006-0000-0000-000003000000}">
      <text>
        <r>
          <rPr>
            <b/>
            <sz val="8"/>
            <color indexed="81"/>
            <rFont val="Tahoma"/>
            <family val="2"/>
          </rPr>
          <t>Heures supplémentaires prévues au contrat (si salaire au réel) + Heures supplémentaires non prévues au contrat</t>
        </r>
      </text>
    </comment>
    <comment ref="L24" authorId="0" shapeId="0" xr:uid="{AF6CFAAE-4491-4992-B3C0-537F2939129A}">
      <text>
        <r>
          <rPr>
            <b/>
            <sz val="9"/>
            <color indexed="81"/>
            <rFont val="Tahoma"/>
            <family val="2"/>
          </rPr>
          <t>Vous pouvez choisir sur le coté si vous voulez afficher pour la retenue les heures réelles retirées ou les heures mensualisées retirées</t>
        </r>
      </text>
    </comment>
    <comment ref="L25" authorId="0" shapeId="0" xr:uid="{FBB1C3EA-603F-4017-8A10-2B849280F5CA}">
      <text>
        <r>
          <rPr>
            <b/>
            <sz val="9"/>
            <color indexed="81"/>
            <rFont val="Tahoma"/>
            <family val="2"/>
          </rPr>
          <t>Vous pouvez choisir sur le coté si vous voulez afficher pour la retenue les heures réelles retirées ou les heures mensualisées retirées</t>
        </r>
      </text>
    </comment>
    <comment ref="B30" authorId="0" shapeId="0" xr:uid="{00000000-0006-0000-0000-000008000000}">
      <text>
        <r>
          <rPr>
            <b/>
            <sz val="9"/>
            <color indexed="81"/>
            <rFont val="Tahoma"/>
            <family val="2"/>
          </rPr>
          <t>On inclus pour le calcul la prime de précarité</t>
        </r>
      </text>
    </comment>
    <comment ref="H66" authorId="2" shapeId="0" xr:uid="{00000000-0006-0000-0000-000009000000}">
      <text>
        <r>
          <rPr>
            <b/>
            <sz val="9"/>
            <color indexed="8"/>
            <rFont val="Tahoma"/>
            <family val="2"/>
            <charset val="1"/>
          </rPr>
          <t xml:space="preserve">Nombre de kilomètres
</t>
        </r>
      </text>
    </comment>
    <comment ref="K66" authorId="2" shapeId="0" xr:uid="{00000000-0006-0000-0000-00000A000000}">
      <text>
        <r>
          <rPr>
            <b/>
            <sz val="9"/>
            <color indexed="8"/>
            <rFont val="Tahoma"/>
            <family val="2"/>
            <charset val="1"/>
          </rPr>
          <t>Tarif du Kilomètre négocié avec les parents</t>
        </r>
      </text>
    </comment>
    <comment ref="AH80" authorId="2" shapeId="0" xr:uid="{00000000-0006-0000-0000-00000B000000}">
      <text>
        <r>
          <rPr>
            <b/>
            <sz val="9"/>
            <color indexed="8"/>
            <rFont val="Tahoma"/>
            <family val="2"/>
            <charset val="1"/>
          </rPr>
          <t>Pour les années complètes reporter le nbre de mois travaillés en fin d'année de référence précédente (le 31 mai précédent)
Pour les années incomplètes reporter le nbre de semaines travaillées en fin d'année de référence précédente (le 31 mai précédent)</t>
        </r>
      </text>
    </comment>
    <comment ref="AL80" authorId="2" shapeId="0" xr:uid="{00000000-0006-0000-0000-00000C000000}">
      <text>
        <r>
          <rPr>
            <b/>
            <sz val="9"/>
            <color indexed="8"/>
            <rFont val="Tahoma"/>
            <family val="2"/>
            <charset val="1"/>
          </rPr>
          <t xml:space="preserve">Pour les années complètes reporter le nbre de mois travaillés pour l'année de référence en cours.
Pour les années incomplètes reporter le nbre de semaines travaillées pour l'année de référence en cours.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POUTEAU</author>
    <author>david</author>
    <author/>
  </authors>
  <commentList>
    <comment ref="X3" authorId="0" shapeId="0" xr:uid="{C98DB75A-0882-49D0-8CC5-32F6024FF2F1}">
      <text>
        <r>
          <rPr>
            <b/>
            <sz val="9"/>
            <color indexed="81"/>
            <rFont val="Tahoma"/>
            <family val="2"/>
          </rPr>
          <t xml:space="preserve">Sélectionner le mois dans la liste déroulante
</t>
        </r>
      </text>
    </comment>
    <comment ref="AG18" authorId="1" shapeId="0" xr:uid="{336086F6-5682-4CEA-9366-EA5355CDD426}">
      <text>
        <r>
          <rPr>
            <b/>
            <sz val="8"/>
            <color indexed="81"/>
            <rFont val="Tahoma"/>
            <family val="2"/>
          </rPr>
          <t>Heures complémentaires non prévues au contrat</t>
        </r>
      </text>
    </comment>
    <comment ref="AJ18" authorId="1" shapeId="0" xr:uid="{E0CA23AC-DCBF-47E1-8AEC-E2987A198C33}">
      <text>
        <r>
          <rPr>
            <b/>
            <sz val="8"/>
            <color indexed="81"/>
            <rFont val="Tahoma"/>
            <family val="2"/>
          </rPr>
          <t>Heures supplémentaires prévues au contrat (si salaire au réel) + Heures supplémentaires non prévues au contrat</t>
        </r>
      </text>
    </comment>
    <comment ref="L24" authorId="0" shapeId="0" xr:uid="{3C51CDF5-F739-4FAE-9030-64314F75EF25}">
      <text>
        <r>
          <rPr>
            <b/>
            <sz val="9"/>
            <color indexed="81"/>
            <rFont val="Tahoma"/>
            <family val="2"/>
          </rPr>
          <t>Vous pouvez choisir sur le coté si vous voulez afficher pour la retenue les heures réelles retirées ou les heures mensualisées retirées</t>
        </r>
      </text>
    </comment>
    <comment ref="L25" authorId="0" shapeId="0" xr:uid="{850232BB-2DD7-489D-B0E6-F39F3E3E8E5A}">
      <text>
        <r>
          <rPr>
            <b/>
            <sz val="9"/>
            <color indexed="81"/>
            <rFont val="Tahoma"/>
            <family val="2"/>
          </rPr>
          <t>Vous pouvez choisir sur le coté si vous voulez afficher pour la retenue les heures réelles retirées ou les heures mensualisées retirées</t>
        </r>
      </text>
    </comment>
    <comment ref="B30" authorId="0" shapeId="0" xr:uid="{FC0B8709-0D25-4DD2-9159-07193A4D7420}">
      <text>
        <r>
          <rPr>
            <b/>
            <sz val="9"/>
            <color indexed="81"/>
            <rFont val="Tahoma"/>
            <family val="2"/>
          </rPr>
          <t>On inclus pour le calcul la prime de précarité</t>
        </r>
      </text>
    </comment>
    <comment ref="H66" authorId="2" shapeId="0" xr:uid="{E8CB9FC0-F5EE-4DFD-ACEE-0A0E29E44FCB}">
      <text>
        <r>
          <rPr>
            <b/>
            <sz val="9"/>
            <color indexed="8"/>
            <rFont val="Tahoma"/>
            <family val="2"/>
            <charset val="1"/>
          </rPr>
          <t xml:space="preserve">Nombre de kilomètres
</t>
        </r>
      </text>
    </comment>
    <comment ref="K66" authorId="2" shapeId="0" xr:uid="{E711957D-132F-4D3A-9FFF-C4839B239ABB}">
      <text>
        <r>
          <rPr>
            <b/>
            <sz val="9"/>
            <color indexed="8"/>
            <rFont val="Tahoma"/>
            <family val="2"/>
            <charset val="1"/>
          </rPr>
          <t>Tarif du Kilomètre négocié avec les parents</t>
        </r>
      </text>
    </comment>
    <comment ref="AH80" authorId="2" shapeId="0" xr:uid="{E6D92A68-9464-4ACD-B293-1689732C1985}">
      <text>
        <r>
          <rPr>
            <b/>
            <sz val="9"/>
            <color indexed="8"/>
            <rFont val="Tahoma"/>
            <family val="2"/>
            <charset val="1"/>
          </rPr>
          <t>Pour les années complètes reporter le nbre de mois travaillés en fin d'année de référence précédente (le 31 mai précédent)
Pour les années incomplètes reporter le nbre de semaines travaillées en fin d'année de référence précédente (le 31 mai précédent)</t>
        </r>
      </text>
    </comment>
    <comment ref="AL80" authorId="2" shapeId="0" xr:uid="{4F2F3F80-E6AF-4685-9C75-A963C2B52C43}">
      <text>
        <r>
          <rPr>
            <b/>
            <sz val="9"/>
            <color indexed="8"/>
            <rFont val="Tahoma"/>
            <family val="2"/>
            <charset val="1"/>
          </rPr>
          <t xml:space="preserve">Pour les années complètes reporter le nbre de mois travaillés pour l'année de référence en cours.
Pour les années incomplètes reporter le nbre de semaines travaillées pour l'année de référence en cours.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<sst xmlns="http://schemas.openxmlformats.org/spreadsheetml/2006/main" count="549" uniqueCount="245">
  <si>
    <t>BULLETIN DE SALAIRE</t>
  </si>
  <si>
    <t>EMPLOYEUR</t>
  </si>
  <si>
    <t>Mois :</t>
  </si>
  <si>
    <t>Enfant :</t>
  </si>
  <si>
    <t>Nom, Prénom :</t>
  </si>
  <si>
    <t>Année :</t>
  </si>
  <si>
    <t>Date contrat :</t>
  </si>
  <si>
    <t>Adresse :</t>
  </si>
  <si>
    <t>Jours :</t>
  </si>
  <si>
    <t>au</t>
  </si>
  <si>
    <t>CP Ville :</t>
  </si>
  <si>
    <t>N° Pajemploi :</t>
  </si>
  <si>
    <t>SALARIE</t>
  </si>
  <si>
    <t>Adres Pajemploi :</t>
  </si>
  <si>
    <t>Convention Collective des Assistants Maternels du Particulier Employeur  - Code NAF : 88.91A</t>
  </si>
  <si>
    <t>Emploi :</t>
  </si>
  <si>
    <t>N° SS :</t>
  </si>
  <si>
    <t>Heures normales mens. :</t>
  </si>
  <si>
    <t>Heures supp mens. :</t>
  </si>
  <si>
    <t>Salaire horaire brut :</t>
  </si>
  <si>
    <t>Salaire horaire net :</t>
  </si>
  <si>
    <t>REMUNERATION</t>
  </si>
  <si>
    <t>Base</t>
  </si>
  <si>
    <t>Taux</t>
  </si>
  <si>
    <t>Montant</t>
  </si>
  <si>
    <t>Jours</t>
  </si>
  <si>
    <t>Heures</t>
  </si>
  <si>
    <t>HRS comp</t>
  </si>
  <si>
    <t>HRS supp</t>
  </si>
  <si>
    <t>Heures complémentaires</t>
  </si>
  <si>
    <t>Heures supp majorées</t>
  </si>
  <si>
    <t>-</t>
  </si>
  <si>
    <t>Retenue sur salaire (Maladie,…)</t>
  </si>
  <si>
    <t>Retenue sur salaire HS majorées (Maladie,…)</t>
  </si>
  <si>
    <t>+</t>
  </si>
  <si>
    <t>Congés payés     Avance de 10%</t>
  </si>
  <si>
    <t>Régularisation</t>
  </si>
  <si>
    <t>Indemnité compensatrice de congés payés</t>
  </si>
  <si>
    <t>Indemnité compensatrice de préavis</t>
  </si>
  <si>
    <t>Prime de précarité 10% (CDD)</t>
  </si>
  <si>
    <t>Rémunération brute :</t>
  </si>
  <si>
    <t>Salariales</t>
  </si>
  <si>
    <t>Patronales</t>
  </si>
  <si>
    <t>COTISATIONS</t>
  </si>
  <si>
    <t>Santé :</t>
  </si>
  <si>
    <t>Séc. Soc. Maladie invalidité</t>
  </si>
  <si>
    <t>Accident du travail :</t>
  </si>
  <si>
    <t>Retraite :</t>
  </si>
  <si>
    <t>Famille :</t>
  </si>
  <si>
    <t>Famille</t>
  </si>
  <si>
    <t>Autres cotisations patronales</t>
  </si>
  <si>
    <t>CSG déductible de l'IR</t>
  </si>
  <si>
    <t>CSG/RDS non déductible de l'IR</t>
  </si>
  <si>
    <t>CSG/RDS non déd sur rev non imp</t>
  </si>
  <si>
    <t>Réduction cot. HC et HS</t>
  </si>
  <si>
    <t>Total cot. salariales :</t>
  </si>
  <si>
    <t>Total cot. Patronales :</t>
  </si>
  <si>
    <t>Salaire net :</t>
  </si>
  <si>
    <t>Légende calendrier :</t>
  </si>
  <si>
    <t>INDEMNITES</t>
  </si>
  <si>
    <t>WE : Week-end</t>
  </si>
  <si>
    <t>F : Jour Férié</t>
  </si>
  <si>
    <t>CVP : Convenance personnelle (non rémunérée)</t>
  </si>
  <si>
    <t>Indemnité entretien</t>
  </si>
  <si>
    <t>CP : Congés Payés Acquis</t>
  </si>
  <si>
    <t>CA : Congés Annuels (non rémunérés)</t>
  </si>
  <si>
    <t>SD : Semaine déduite au contrat</t>
  </si>
  <si>
    <t>ABS : Absence non prévue de l'enfant (rémunérée)</t>
  </si>
  <si>
    <t>Indemnité repas</t>
  </si>
  <si>
    <t>MLEF : Enfant malade (non rémunérée)</t>
  </si>
  <si>
    <t>MLAM : Maladie Assistante Maternelle (non rémunérée)</t>
  </si>
  <si>
    <t>Indemnité goûter</t>
  </si>
  <si>
    <t>Indemnité déplacement</t>
  </si>
  <si>
    <t>Gain pouvoir d'achat :</t>
  </si>
  <si>
    <t>Nombre de jours d'accueil :</t>
  </si>
  <si>
    <t>Suppression cot. maladie et chômage :</t>
  </si>
  <si>
    <t>Nombre de jours de 8h et + :</t>
  </si>
  <si>
    <t>Baisse cot hres suppl. et compl. :</t>
  </si>
  <si>
    <t>Nombre d'hres journée -8h :</t>
  </si>
  <si>
    <t>Salaire imposable :</t>
  </si>
  <si>
    <t>NET Avant Impôt  :</t>
  </si>
  <si>
    <t>HS et HC non impo. :</t>
  </si>
  <si>
    <t>Impôt à la source :</t>
  </si>
  <si>
    <t>Base prélèvement à la source de l'impôt :</t>
  </si>
  <si>
    <t>Indem. imposables :</t>
  </si>
  <si>
    <t>Taux de prélèvement à la source :</t>
  </si>
  <si>
    <t>Déjà perçu/à percevoir :</t>
  </si>
  <si>
    <t>Mode de règlement 1 :</t>
  </si>
  <si>
    <t>Commentaires :</t>
  </si>
  <si>
    <t>Montant 1 :</t>
  </si>
  <si>
    <t>Net à payer :</t>
  </si>
  <si>
    <t>Année précédente</t>
  </si>
  <si>
    <t>Année en cours</t>
  </si>
  <si>
    <t>Mode de règlement 2 :</t>
  </si>
  <si>
    <t xml:space="preserve"> </t>
  </si>
  <si>
    <t>Montant 2 :</t>
  </si>
  <si>
    <t>Fait à :</t>
  </si>
  <si>
    <t>Nombre jours acquis :</t>
  </si>
  <si>
    <t>Le :</t>
  </si>
  <si>
    <t>Congés pris payés précédemment</t>
  </si>
  <si>
    <t>Signature :</t>
  </si>
  <si>
    <t>Congés pris payés ce mois :</t>
  </si>
  <si>
    <t>Reste à prendre :</t>
  </si>
  <si>
    <t>Ind entretien horaire</t>
  </si>
  <si>
    <t>Définir le type d'Année :</t>
  </si>
  <si>
    <t>Congés supplémentaires : Enf -15 ans</t>
  </si>
  <si>
    <t>Total jours acquis :</t>
  </si>
  <si>
    <t>Congés supplémentaires : Jrs fraction.</t>
  </si>
  <si>
    <t>Année Complète</t>
  </si>
  <si>
    <t>NON</t>
  </si>
  <si>
    <t>Taux conversion brut / net :</t>
  </si>
  <si>
    <t>Taux conversion Alsace / Moselle :</t>
  </si>
  <si>
    <t>Alsace / Moselle :</t>
  </si>
  <si>
    <t>Taux de conversion brut/net :</t>
  </si>
  <si>
    <t>Date</t>
  </si>
  <si>
    <t>Cotisations Salariales</t>
  </si>
  <si>
    <t>Cotisations Patronales</t>
  </si>
  <si>
    <t>Taux ss Alsace / Moselle :</t>
  </si>
  <si>
    <t xml:space="preserve">Taux de majoration : </t>
  </si>
  <si>
    <t xml:space="preserve"> des heures supplémentaires :</t>
  </si>
  <si>
    <t>des heures complémentaires :</t>
  </si>
  <si>
    <t>Salaire au réel (OUI / NON) :</t>
  </si>
  <si>
    <t xml:space="preserve">smic horaire brut : </t>
  </si>
  <si>
    <t>Vide</t>
  </si>
  <si>
    <t>Si le contrat prévoit des semaines de + de 45 hrs, les heures majorées sont mensualisées (OUI / NON) ?</t>
  </si>
  <si>
    <t>Autres :</t>
  </si>
  <si>
    <t>(1)</t>
  </si>
  <si>
    <t>(2)</t>
  </si>
  <si>
    <t>Indemnité de rupture</t>
  </si>
  <si>
    <t>(1) Indemnités imposables</t>
  </si>
  <si>
    <t>(2) Indemnité non imposable</t>
  </si>
  <si>
    <t>Impôt prélevé :</t>
  </si>
  <si>
    <t>Ce mois</t>
  </si>
  <si>
    <t>Depuis le 01/01</t>
  </si>
  <si>
    <t>CALCUL RETENUE SUR SALAIRE</t>
  </si>
  <si>
    <t>Nom :</t>
  </si>
  <si>
    <t>Taux horaire brut heures :</t>
  </si>
  <si>
    <t>Heures majorées mensualisées :</t>
  </si>
  <si>
    <t>Nombre d'heures potentielles du mois</t>
  </si>
  <si>
    <t>Heures d'absences</t>
  </si>
  <si>
    <t>Mensualisation heures majorées :</t>
  </si>
  <si>
    <t xml:space="preserve">Retenue sur salaire = </t>
  </si>
  <si>
    <t>Mensualisation / Nbre d'heures potentielles du mois X hrs d'absences</t>
  </si>
  <si>
    <t>Coefficient de retenue = Nbre d'hrs d'absences / Nbre d'hrs potentielles</t>
  </si>
  <si>
    <t>Montant de la retenue heures majorées :</t>
  </si>
  <si>
    <t>Coefficient : heures majorées / Heures Totales :</t>
  </si>
  <si>
    <t>Nbre d'heures majorées à déduire :</t>
  </si>
  <si>
    <t>Total hrs :</t>
  </si>
  <si>
    <t>Nbre de jrs non rémunérés :</t>
  </si>
  <si>
    <t>Hrs normales mens.  :</t>
  </si>
  <si>
    <t>Aide à la déclaration auprès de PAJEMPLOI</t>
  </si>
  <si>
    <t>MOIS (Faites votre choix)</t>
  </si>
  <si>
    <t>Date de paiement :</t>
  </si>
  <si>
    <t>Mensualisation sur</t>
  </si>
  <si>
    <t>semaines</t>
  </si>
  <si>
    <t>Nombre de jours d'activité :</t>
  </si>
  <si>
    <t>jours</t>
  </si>
  <si>
    <t xml:space="preserve">Jours à déduire sur le mois (retenue sur salaire) : </t>
  </si>
  <si>
    <t>Salaire net total (hors indemnités) à déclarer :</t>
  </si>
  <si>
    <t>Indemnités d'entretien :</t>
  </si>
  <si>
    <t>Indemnités kilométriques :</t>
  </si>
  <si>
    <t xml:space="preserve">Récapitulatif </t>
  </si>
  <si>
    <t>Salaire y compris indemnités :</t>
  </si>
  <si>
    <t>Montant de l'exonération au titre des hrs comp. et majorées :</t>
  </si>
  <si>
    <t>Impôt sur le revenu prélevé à la source :</t>
  </si>
  <si>
    <t>NET A PAYER sur l'attestation PAJEMPLOI</t>
  </si>
  <si>
    <t>Nombre d'heures par semaine</t>
  </si>
  <si>
    <t>heures</t>
  </si>
  <si>
    <t xml:space="preserve">Modif : </t>
  </si>
  <si>
    <t xml:space="preserve">Jours à rajouter (régularisation...) : </t>
  </si>
  <si>
    <t xml:space="preserve">Nbre de jours indemnité congés payés (année incomp) : </t>
  </si>
  <si>
    <t>Jours d'activité</t>
  </si>
  <si>
    <t>Moyenne heures/jours</t>
  </si>
  <si>
    <t>Modification jours  :</t>
  </si>
  <si>
    <t>(Heures réelles)</t>
  </si>
  <si>
    <t>(Heures mensualisées)</t>
  </si>
  <si>
    <t>En cas de retenue sur salaire afficher :</t>
  </si>
  <si>
    <t>Heures mensualisées</t>
  </si>
  <si>
    <t>Heures réelles</t>
  </si>
  <si>
    <t>En heures réelles :</t>
  </si>
  <si>
    <t>En heures mensualisées :</t>
  </si>
  <si>
    <t>TAUX SALARIALES</t>
  </si>
  <si>
    <t>JANVIER</t>
  </si>
  <si>
    <t>FEVRIER</t>
  </si>
  <si>
    <t>MARS</t>
  </si>
  <si>
    <t>AVRIL</t>
  </si>
  <si>
    <t>MAI</t>
  </si>
  <si>
    <t>JUIN</t>
  </si>
  <si>
    <t>JUILLET</t>
  </si>
  <si>
    <t>AOÛT</t>
  </si>
  <si>
    <t>SEPTEMBRE</t>
  </si>
  <si>
    <t>OCTOBRE</t>
  </si>
  <si>
    <t>NOVEMBRE</t>
  </si>
  <si>
    <t>DÉCEMBRE</t>
  </si>
  <si>
    <t>Prévoyance T1</t>
  </si>
  <si>
    <t>Prévoyance T2</t>
  </si>
  <si>
    <t>Retraite SS T1</t>
  </si>
  <si>
    <t>Retraite SS Totalité</t>
  </si>
  <si>
    <t>Retraite IRCEM T1</t>
  </si>
  <si>
    <t>CEG T1</t>
  </si>
  <si>
    <t>CET si plafond SS atteint</t>
  </si>
  <si>
    <t>Retraite IRCEM T2</t>
  </si>
  <si>
    <t>CEG T2</t>
  </si>
  <si>
    <t>Autres cotisations patronales T1</t>
  </si>
  <si>
    <t>TAUX PATRONALES</t>
  </si>
  <si>
    <t>COEFFICIENT BASE SALARIALE</t>
  </si>
  <si>
    <t>Coefficient base</t>
  </si>
  <si>
    <t>COEFFICIENT BASE PATRONALE</t>
  </si>
  <si>
    <t>Plafond CPAM :</t>
  </si>
  <si>
    <t>cpam</t>
  </si>
  <si>
    <t>Chèque</t>
  </si>
  <si>
    <t>Montant Net Social :</t>
  </si>
  <si>
    <t>Congés payés</t>
  </si>
  <si>
    <t>Mme Dupont Martine</t>
  </si>
  <si>
    <t>13 rue de Paris</t>
  </si>
  <si>
    <t>53000 Laval</t>
  </si>
  <si>
    <t>Y125885512121</t>
  </si>
  <si>
    <t>Puys en Velay</t>
  </si>
  <si>
    <t>Mathis</t>
  </si>
  <si>
    <t>Mme Martin Lucie</t>
  </si>
  <si>
    <t>58 Rue de Paris</t>
  </si>
  <si>
    <t>Assistante Maternelle</t>
  </si>
  <si>
    <t>2 60 89 56 525 896 15</t>
  </si>
  <si>
    <t>Montant de la retenue heures (&lt; ou = à 45 hrs / sem) :</t>
  </si>
  <si>
    <t>Coefficient : heures (&lt; ou = à 45 hrs / sem) / Heures Totales :</t>
  </si>
  <si>
    <t>Nbre d'heures (&lt; ou = à 45 hrs / sem) à déduire :</t>
  </si>
  <si>
    <t>Nombre de jours d'accueil par semaine</t>
  </si>
  <si>
    <t>Jours acquis en arrêt de travail (Maladie)</t>
  </si>
  <si>
    <t>Contribution Santé au Travail</t>
  </si>
  <si>
    <t>Assurance Chômage :</t>
  </si>
  <si>
    <t>Pendant cette période, votre salarié a-t-il effectué des heures complémentaires ?</t>
  </si>
  <si>
    <t xml:space="preserve">          Nombre d'heures complémentaires :</t>
  </si>
  <si>
    <t>Pendant cette période, votre salarié a-t-il effectué des heures majorées ?</t>
  </si>
  <si>
    <t xml:space="preserve">          Nombre d'heures majorées : </t>
  </si>
  <si>
    <t>Salaire horaire net d'une heure normale :</t>
  </si>
  <si>
    <t>Pendant cette période, avez-vous versé des "congés payés" à votre salarié ?</t>
  </si>
  <si>
    <t xml:space="preserve">          Nombre de jours de congés payés :</t>
  </si>
  <si>
    <t>Heures normales à déclarer dans le mois :</t>
  </si>
  <si>
    <t>Frais de repas :</t>
  </si>
  <si>
    <t>S'agit-il d'une fin de contrat ?</t>
  </si>
  <si>
    <t xml:space="preserve">          Montant de la prime de précarité :</t>
  </si>
  <si>
    <t xml:space="preserve">          Montant de l'indemnité compensatrice de congés payés :</t>
  </si>
  <si>
    <t xml:space="preserve">          Montant de l'indemnité compensatrice de préavis :</t>
  </si>
  <si>
    <t xml:space="preserve">          Montant de l'indemnité rupture :</t>
  </si>
  <si>
    <t>TABLEAU DES COTISATIONS POUR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</si>
</sst>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 #,##0.00\ &quot;€&quot;_-;\-* #,##0.00\ &quot;€&quot;_-;_-* &quot;-&quot;??\ &quot;€&quot;_-;_-@_-"/>
    <numFmt numFmtId="164" formatCode="mmmm"/>
    <numFmt numFmtId="165" formatCode="dd/mm/yy"/>
    <numFmt numFmtId="166" formatCode="dd"/>
    <numFmt numFmtId="167" formatCode="0.00&quot; hrs&quot;"/>
    <numFmt numFmtId="168" formatCode="#,##0.0000&quot; €&quot;"/>
    <numFmt numFmtId="169" formatCode="_-* #,##0.00&quot; €&quot;_-;\-* #,##0.00&quot; €&quot;_-;_-* \-??&quot; €&quot;_-;_-@_-"/>
    <numFmt numFmtId="170" formatCode="ddd\ dd"/>
    <numFmt numFmtId="171" formatCode="0.000\ %"/>
    <numFmt numFmtId="172" formatCode="0.00\ %"/>
    <numFmt numFmtId="173" formatCode="0&quot; jrs&quot;"/>
    <numFmt numFmtId="174" formatCode="0.00&quot; jrs&quot;"/>
    <numFmt numFmtId="175" formatCode="0.00&quot; km&quot;"/>
    <numFmt numFmtId="176" formatCode="#,##0.00\ &quot;€&quot;"/>
    <numFmt numFmtId="177" formatCode="_-* #,##0.0000&quot; €&quot;_-;\-* #,##0.0000&quot; €&quot;_-;_-* \-??&quot; €&quot;_-;_-@_-"/>
    <numFmt numFmtId="178" formatCode="_-* #,##0.0000\ &quot;€&quot;_-;\-* #,##0.0000\ &quot;€&quot;_-;_-* &quot;-&quot;??\ &quot;€&quot;_-;_-@_-"/>
    <numFmt numFmtId="179" formatCode="#,##0.0000\ &quot;€&quot;"/>
    <numFmt numFmtId="180" formatCode="mmmm\-yyyy"/>
    <numFmt numFmtId="181" formatCode="d"/>
    <numFmt numFmtId="182" formatCode="_-* #,##0.00\ &quot;€&quot;_-;\-* #,##0.00\ &quot;€&quot;_-;_-* &quot;-&quot;????\ &quot;€&quot;_-;_-@_-"/>
    <numFmt numFmtId="183" formatCode="_-* #,##0.00\ [$€-40C]_-;\-* #,##0.00\ [$€-40C]_-;_-* &quot;-&quot;??\ [$€-40C]_-;_-@_-"/>
    <numFmt numFmtId="184" formatCode="0&quot; hrs&quot;"/>
  </numFmts>
  <fonts count="48" x14ac:knownFonts="1">
    <font>
      <sz val="11"/>
      <color theme="1"/>
      <name val="Calibri"/>
      <family val="2"/>
      <scheme val="minor"/>
    </font>
    <font>
      <sz val="10"/>
      <color theme="1"/>
      <name val="Arial"/>
      <family val="2"/>
    </font>
    <font>
      <sz val="11"/>
      <color theme="1"/>
      <name val="Calibri"/>
      <family val="2"/>
      <scheme val="minor"/>
    </font>
    <font>
      <sz val="11"/>
      <color theme="0"/>
      <name val="Calibri"/>
      <family val="2"/>
      <scheme val="minor"/>
    </font>
    <font>
      <sz val="10"/>
      <name val="Arial"/>
      <family val="2"/>
      <charset val="1"/>
    </font>
    <font>
      <b/>
      <sz val="14"/>
      <name val="Arial"/>
      <family val="2"/>
      <charset val="1"/>
    </font>
    <font>
      <b/>
      <sz val="10"/>
      <name val="Arial"/>
      <family val="2"/>
      <charset val="1"/>
    </font>
    <font>
      <b/>
      <sz val="10"/>
      <name val="Arial"/>
      <family val="2"/>
    </font>
    <font>
      <sz val="10"/>
      <color indexed="8"/>
      <name val="Arial"/>
      <family val="2"/>
      <charset val="1"/>
    </font>
    <font>
      <sz val="8"/>
      <name val="Arial"/>
      <family val="2"/>
      <charset val="1"/>
    </font>
    <font>
      <sz val="9"/>
      <name val="Arial"/>
      <family val="2"/>
      <charset val="1"/>
    </font>
    <font>
      <sz val="9"/>
      <color indexed="8"/>
      <name val="Arial"/>
      <family val="2"/>
      <charset val="1"/>
    </font>
    <font>
      <b/>
      <sz val="20"/>
      <color indexed="8"/>
      <name val="Arial"/>
      <family val="2"/>
    </font>
    <font>
      <b/>
      <sz val="16"/>
      <color indexed="8"/>
      <name val="Arial"/>
      <family val="2"/>
    </font>
    <font>
      <b/>
      <sz val="9"/>
      <name val="Arial"/>
      <family val="2"/>
      <charset val="1"/>
    </font>
    <font>
      <u/>
      <sz val="9"/>
      <color indexed="8"/>
      <name val="Arial"/>
      <family val="2"/>
      <charset val="1"/>
    </font>
    <font>
      <i/>
      <sz val="9"/>
      <color indexed="8"/>
      <name val="Arial"/>
      <family val="2"/>
    </font>
    <font>
      <u/>
      <sz val="9"/>
      <name val="Arial"/>
      <family val="2"/>
      <charset val="1"/>
    </font>
    <font>
      <u/>
      <sz val="8"/>
      <name val="Arial"/>
      <family val="2"/>
    </font>
    <font>
      <sz val="8"/>
      <name val="Arial"/>
      <family val="2"/>
    </font>
    <font>
      <sz val="10"/>
      <name val="Arial"/>
      <family val="2"/>
    </font>
    <font>
      <u/>
      <sz val="10"/>
      <name val="Arial"/>
      <family val="2"/>
      <charset val="1"/>
    </font>
    <font>
      <b/>
      <sz val="12"/>
      <name val="Arial"/>
      <family val="2"/>
      <charset val="1"/>
    </font>
    <font>
      <b/>
      <sz val="8"/>
      <color indexed="81"/>
      <name val="Tahoma"/>
      <family val="2"/>
    </font>
    <font>
      <b/>
      <sz val="9"/>
      <color indexed="81"/>
      <name val="Tahoma"/>
      <family val="2"/>
    </font>
    <font>
      <b/>
      <sz val="9"/>
      <color indexed="8"/>
      <name val="Tahoma"/>
      <family val="2"/>
      <charset val="1"/>
    </font>
    <font>
      <b/>
      <sz val="11"/>
      <color theme="1"/>
      <name val="Calibri"/>
      <family val="2"/>
      <scheme val="minor"/>
    </font>
    <font>
      <u/>
      <sz val="11"/>
      <color theme="1"/>
      <name val="Calibri"/>
      <family val="2"/>
      <scheme val="minor"/>
    </font>
    <font>
      <i/>
      <sz val="9"/>
      <name val="Arial"/>
      <family val="2"/>
    </font>
    <font>
      <b/>
      <sz val="9"/>
      <name val="Arial"/>
      <family val="2"/>
    </font>
    <font>
      <sz val="10"/>
      <color theme="1"/>
      <name val="Arial"/>
      <family val="2"/>
    </font>
    <font>
      <b/>
      <u/>
      <sz val="10"/>
      <color theme="9" tint="-0.499984740745262"/>
      <name val="Arial"/>
      <family val="2"/>
    </font>
    <font>
      <sz val="10"/>
      <color theme="0"/>
      <name val="Arial"/>
      <family val="2"/>
    </font>
    <font>
      <sz val="10"/>
      <color indexed="9"/>
      <name val="Arial"/>
      <family val="2"/>
    </font>
    <font>
      <sz val="10"/>
      <color rgb="FFFF0000"/>
      <name val="Arial"/>
      <family val="2"/>
    </font>
    <font>
      <i/>
      <sz val="10"/>
      <name val="Arial"/>
      <family val="2"/>
    </font>
    <font>
      <i/>
      <sz val="10"/>
      <color rgb="FFFF0000"/>
      <name val="Arial"/>
      <family val="2"/>
    </font>
    <font>
      <b/>
      <sz val="14"/>
      <name val="Arial"/>
      <family val="2"/>
    </font>
    <font>
      <sz val="14"/>
      <name val="Arial"/>
      <family val="2"/>
    </font>
    <font>
      <sz val="10"/>
      <color theme="0"/>
      <name val="Arial"/>
      <family val="2"/>
      <charset val="1"/>
    </font>
    <font>
      <b/>
      <sz val="12"/>
      <name val="Arial"/>
      <family val="2"/>
    </font>
    <font>
      <sz val="10"/>
      <color rgb="FF000000"/>
      <name val="Arial"/>
      <family val="2"/>
      <charset val="1"/>
    </font>
    <font>
      <i/>
      <sz val="10"/>
      <color rgb="FF000000"/>
      <name val="Arial"/>
      <family val="2"/>
      <charset val="1"/>
    </font>
    <font>
      <b/>
      <sz val="10"/>
      <color rgb="FF000000"/>
      <name val="Arial"/>
      <family val="2"/>
      <charset val="1"/>
    </font>
    <font>
      <b/>
      <sz val="11"/>
      <color rgb="FF000000"/>
      <name val="Calibri"/>
      <family val="2"/>
      <charset val="1"/>
    </font>
    <font>
      <b/>
      <sz val="10"/>
      <color theme="0"/>
      <name val="Arial"/>
      <family val="2"/>
      <charset val="1"/>
    </font>
    <font>
      <i/>
      <sz val="8"/>
      <color theme="5" tint="-0.249977111117893"/>
      <name val="Arial"/>
      <family val="2"/>
    </font>
    <font>
      <sz val="9"/>
      <color theme="0"/>
      <name val="Arial"/>
      <family val="2"/>
    </font>
  </fonts>
  <fills count="11">
    <fill>
      <patternFill patternType="none"/>
    </fill>
    <fill>
      <patternFill patternType="gray125"/>
    </fill>
    <fill>
      <patternFill patternType="solid">
        <fgColor theme="5" tint="0.59999389629810485"/>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0"/>
        <bgColor indexed="64"/>
      </patternFill>
    </fill>
    <fill>
      <patternFill patternType="solid">
        <fgColor theme="3" tint="0.79998168889431442"/>
        <bgColor indexed="64"/>
      </patternFill>
    </fill>
    <fill>
      <patternFill patternType="solid">
        <fgColor rgb="FFF15C5A"/>
        <bgColor indexed="64"/>
      </patternFill>
    </fill>
    <fill>
      <patternFill patternType="solid">
        <fgColor rgb="FFF15C5A"/>
        <bgColor indexed="27"/>
      </patternFill>
    </fill>
    <fill>
      <patternFill patternType="solid">
        <fgColor rgb="FFF15C5A"/>
        <bgColor rgb="FFFF6600"/>
      </patternFill>
    </fill>
  </fills>
  <borders count="10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8"/>
      </left>
      <right/>
      <top style="thin">
        <color indexed="8"/>
      </top>
      <bottom/>
      <diagonal/>
    </border>
    <border>
      <left/>
      <right/>
      <top style="thin">
        <color indexed="8"/>
      </top>
      <bottom/>
      <diagonal/>
    </border>
    <border>
      <left style="thin">
        <color indexed="64"/>
      </left>
      <right/>
      <top style="thin">
        <color indexed="8"/>
      </top>
      <bottom/>
      <diagonal/>
    </border>
    <border>
      <left/>
      <right style="thin">
        <color indexed="64"/>
      </right>
      <top style="thin">
        <color indexed="8"/>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8"/>
      </right>
      <top style="thin">
        <color indexed="8"/>
      </top>
      <bottom style="thin">
        <color indexed="8"/>
      </bottom>
      <diagonal/>
    </border>
    <border>
      <left style="double">
        <color indexed="8"/>
      </left>
      <right style="thin">
        <color indexed="8"/>
      </right>
      <top style="double">
        <color indexed="8"/>
      </top>
      <bottom/>
      <diagonal/>
    </border>
    <border>
      <left style="thin">
        <color indexed="8"/>
      </left>
      <right style="thin">
        <color indexed="8"/>
      </right>
      <top style="double">
        <color indexed="8"/>
      </top>
      <bottom/>
      <diagonal/>
    </border>
    <border>
      <left style="thin">
        <color indexed="8"/>
      </left>
      <right style="double">
        <color indexed="8"/>
      </right>
      <top style="double">
        <color indexed="8"/>
      </top>
      <bottom/>
      <diagonal/>
    </border>
    <border>
      <left/>
      <right style="thin">
        <color indexed="8"/>
      </right>
      <top style="thin">
        <color indexed="8"/>
      </top>
      <bottom/>
      <diagonal/>
    </border>
    <border>
      <left/>
      <right style="double">
        <color indexed="8"/>
      </right>
      <top/>
      <bottom/>
      <diagonal/>
    </border>
    <border>
      <left style="double">
        <color indexed="8"/>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double">
        <color indexed="8"/>
      </right>
      <top/>
      <bottom style="thin">
        <color indexed="8"/>
      </bottom>
      <diagonal/>
    </border>
    <border>
      <left/>
      <right style="thin">
        <color indexed="8"/>
      </right>
      <top/>
      <bottom/>
      <diagonal/>
    </border>
    <border>
      <left style="thin">
        <color indexed="8"/>
      </left>
      <right/>
      <top/>
      <bottom/>
      <diagonal/>
    </border>
    <border>
      <left style="double">
        <color indexed="8"/>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8"/>
      </right>
      <top/>
      <bottom style="thin">
        <color indexed="64"/>
      </bottom>
      <diagonal/>
    </border>
    <border>
      <left style="thin">
        <color indexed="8"/>
      </left>
      <right/>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style="thin">
        <color indexed="8"/>
      </bottom>
      <diagonal/>
    </border>
    <border>
      <left/>
      <right style="thin">
        <color indexed="8"/>
      </right>
      <top style="thin">
        <color indexed="64"/>
      </top>
      <bottom style="thin">
        <color indexed="8"/>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bottom/>
      <diagonal/>
    </border>
    <border>
      <left style="thin">
        <color indexed="8"/>
      </left>
      <right style="thin">
        <color indexed="64"/>
      </right>
      <top/>
      <bottom/>
      <diagonal/>
    </border>
    <border>
      <left style="double">
        <color indexed="8"/>
      </left>
      <right style="thin">
        <color indexed="8"/>
      </right>
      <top/>
      <bottom style="double">
        <color indexed="8"/>
      </bottom>
      <diagonal/>
    </border>
    <border>
      <left style="thin">
        <color indexed="8"/>
      </left>
      <right style="thin">
        <color indexed="8"/>
      </right>
      <top style="thin">
        <color indexed="8"/>
      </top>
      <bottom style="double">
        <color indexed="8"/>
      </bottom>
      <diagonal/>
    </border>
    <border>
      <left/>
      <right/>
      <top style="thin">
        <color indexed="8"/>
      </top>
      <bottom style="double">
        <color indexed="8"/>
      </bottom>
      <diagonal/>
    </border>
    <border>
      <left style="thin">
        <color indexed="64"/>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top style="thin">
        <color indexed="64"/>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64"/>
      </right>
      <top style="thin">
        <color indexed="8"/>
      </top>
      <bottom style="thin">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thin">
        <color indexed="8"/>
      </left>
      <right style="thin">
        <color indexed="8"/>
      </right>
      <top style="thin">
        <color indexed="8"/>
      </top>
      <bottom style="thin">
        <color indexed="8"/>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thin">
        <color indexed="64"/>
      </left>
      <right style="thin">
        <color indexed="64"/>
      </right>
      <top style="thin">
        <color indexed="64"/>
      </top>
      <bottom style="thin">
        <color indexed="64"/>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right style="thin">
        <color indexed="8"/>
      </right>
      <top style="thin">
        <color indexed="64"/>
      </top>
      <bottom/>
      <diagonal/>
    </border>
    <border>
      <left style="thin">
        <color indexed="8"/>
      </left>
      <right/>
      <top style="thin">
        <color indexed="64"/>
      </top>
      <bottom/>
      <diagonal/>
    </border>
    <border>
      <left style="thin">
        <color indexed="8"/>
      </left>
      <right style="double">
        <color indexed="8"/>
      </right>
      <top/>
      <bottom/>
      <diagonal/>
    </border>
    <border>
      <left style="thin">
        <color indexed="8"/>
      </left>
      <right style="double">
        <color indexed="8"/>
      </right>
      <top style="thin">
        <color indexed="8"/>
      </top>
      <bottom style="double">
        <color indexed="8"/>
      </bottom>
      <diagonal/>
    </border>
    <border>
      <left style="thin">
        <color indexed="64"/>
      </left>
      <right style="thin">
        <color auto="1"/>
      </right>
      <top/>
      <bottom/>
      <diagonal/>
    </border>
    <border>
      <left/>
      <right style="thin">
        <color indexed="8"/>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ck">
        <color auto="1"/>
      </top>
      <bottom/>
      <diagonal/>
    </border>
    <border>
      <left style="thin">
        <color indexed="8"/>
      </left>
      <right style="thin">
        <color indexed="64"/>
      </right>
      <top style="thin">
        <color indexed="64"/>
      </top>
      <bottom/>
      <diagonal/>
    </border>
    <border>
      <left/>
      <right style="thin">
        <color indexed="8"/>
      </right>
      <top/>
      <bottom/>
      <diagonal/>
    </border>
    <border>
      <left/>
      <right style="thin">
        <color indexed="64"/>
      </right>
      <top/>
      <bottom/>
      <diagonal/>
    </border>
    <border>
      <left/>
      <right style="dashed">
        <color auto="1"/>
      </right>
      <top/>
      <bottom/>
      <diagonal/>
    </border>
    <border>
      <left/>
      <right style="thin">
        <color indexed="64"/>
      </right>
      <top/>
      <bottom/>
      <diagonal/>
    </border>
  </borders>
  <cellStyleXfs count="4">
    <xf numFmtId="0" fontId="0" fillId="0" borderId="0"/>
    <xf numFmtId="9" fontId="2" fillId="0" borderId="0" applyFont="0" applyFill="0" applyBorder="0" applyAlignment="0" applyProtection="0"/>
    <xf numFmtId="0" fontId="4" fillId="0" borderId="0"/>
    <xf numFmtId="44" fontId="2" fillId="0" borderId="0" applyFont="0" applyFill="0" applyBorder="0" applyAlignment="0" applyProtection="0"/>
  </cellStyleXfs>
  <cellXfs count="756">
    <xf numFmtId="0" fontId="0" fillId="0" borderId="0" xfId="0"/>
    <xf numFmtId="0" fontId="11" fillId="0" borderId="12" xfId="2" applyFont="1" applyBorder="1"/>
    <xf numFmtId="164" fontId="0" fillId="0" borderId="0" xfId="0" applyNumberFormat="1"/>
    <xf numFmtId="0" fontId="26" fillId="0" borderId="0" xfId="0" applyFont="1" applyAlignment="1">
      <alignment horizontal="center"/>
    </xf>
    <xf numFmtId="0" fontId="15" fillId="0" borderId="9" xfId="2" applyFont="1" applyBorder="1" applyAlignment="1">
      <alignment horizontal="left"/>
    </xf>
    <xf numFmtId="0" fontId="16" fillId="0" borderId="12" xfId="2" applyFont="1" applyBorder="1" applyAlignment="1">
      <alignment horizontal="left"/>
    </xf>
    <xf numFmtId="0" fontId="15" fillId="0" borderId="12" xfId="2" applyFont="1" applyBorder="1" applyAlignment="1">
      <alignment horizontal="left"/>
    </xf>
    <xf numFmtId="0" fontId="17" fillId="0" borderId="12" xfId="2" applyFont="1" applyBorder="1" applyAlignment="1">
      <alignment horizontal="left"/>
    </xf>
    <xf numFmtId="0" fontId="10" fillId="0" borderId="18" xfId="2" applyFont="1" applyBorder="1"/>
    <xf numFmtId="0" fontId="0" fillId="0" borderId="74" xfId="0" applyBorder="1" applyAlignment="1">
      <alignment horizontal="center"/>
    </xf>
    <xf numFmtId="0" fontId="0" fillId="0" borderId="3" xfId="0" applyBorder="1" applyAlignment="1">
      <alignment horizontal="center"/>
    </xf>
    <xf numFmtId="171" fontId="0" fillId="0" borderId="74" xfId="0" applyNumberFormat="1" applyBorder="1"/>
    <xf numFmtId="0" fontId="27" fillId="0" borderId="0" xfId="0" applyFont="1" applyProtection="1">
      <protection hidden="1"/>
    </xf>
    <xf numFmtId="0" fontId="0" fillId="0" borderId="0" xfId="0" applyProtection="1">
      <protection hidden="1"/>
    </xf>
    <xf numFmtId="0" fontId="10" fillId="0" borderId="74" xfId="2" quotePrefix="1" applyFont="1" applyBorder="1" applyAlignment="1" applyProtection="1">
      <alignment horizontal="center" vertical="center"/>
      <protection hidden="1"/>
    </xf>
    <xf numFmtId="0" fontId="4" fillId="0" borderId="0" xfId="2" applyProtection="1">
      <protection hidden="1"/>
    </xf>
    <xf numFmtId="0" fontId="30" fillId="0" borderId="0" xfId="0" applyFont="1" applyProtection="1">
      <protection hidden="1"/>
    </xf>
    <xf numFmtId="0" fontId="7" fillId="0" borderId="0" xfId="0" applyFont="1" applyProtection="1">
      <protection hidden="1"/>
    </xf>
    <xf numFmtId="0" fontId="30" fillId="0" borderId="0" xfId="0" applyFont="1" applyAlignment="1" applyProtection="1">
      <alignment horizontal="right"/>
      <protection hidden="1"/>
    </xf>
    <xf numFmtId="0" fontId="31" fillId="0" borderId="0" xfId="0" applyFont="1" applyAlignment="1" applyProtection="1">
      <alignment horizontal="center"/>
      <protection hidden="1"/>
    </xf>
    <xf numFmtId="0" fontId="20" fillId="0" borderId="0" xfId="0" applyFont="1" applyProtection="1">
      <protection hidden="1"/>
    </xf>
    <xf numFmtId="0" fontId="20" fillId="0" borderId="0" xfId="0" applyFont="1" applyAlignment="1" applyProtection="1">
      <alignment horizontal="right"/>
      <protection hidden="1"/>
    </xf>
    <xf numFmtId="167" fontId="30" fillId="0" borderId="0" xfId="0" applyNumberFormat="1" applyFont="1" applyProtection="1">
      <protection hidden="1"/>
    </xf>
    <xf numFmtId="178" fontId="30" fillId="0" borderId="0" xfId="0" applyNumberFormat="1" applyFont="1" applyProtection="1">
      <protection hidden="1"/>
    </xf>
    <xf numFmtId="179" fontId="32" fillId="0" borderId="0" xfId="0" applyNumberFormat="1" applyFont="1" applyProtection="1">
      <protection hidden="1"/>
    </xf>
    <xf numFmtId="0" fontId="32" fillId="0" borderId="0" xfId="0" applyFont="1" applyAlignment="1" applyProtection="1">
      <alignment horizontal="right"/>
      <protection hidden="1"/>
    </xf>
    <xf numFmtId="176" fontId="32" fillId="0" borderId="0" xfId="0" applyNumberFormat="1" applyFont="1" applyProtection="1">
      <protection hidden="1"/>
    </xf>
    <xf numFmtId="178" fontId="32" fillId="0" borderId="0" xfId="0" applyNumberFormat="1" applyFont="1" applyProtection="1">
      <protection hidden="1"/>
    </xf>
    <xf numFmtId="180" fontId="30" fillId="0" borderId="0" xfId="0" applyNumberFormat="1" applyFont="1" applyAlignment="1" applyProtection="1">
      <alignment horizontal="center"/>
      <protection hidden="1"/>
    </xf>
    <xf numFmtId="180" fontId="30" fillId="0" borderId="0" xfId="0" applyNumberFormat="1" applyFont="1" applyProtection="1">
      <protection hidden="1"/>
    </xf>
    <xf numFmtId="180" fontId="32" fillId="0" borderId="0" xfId="0" applyNumberFormat="1" applyFont="1" applyProtection="1">
      <protection hidden="1"/>
    </xf>
    <xf numFmtId="181" fontId="32" fillId="0" borderId="0" xfId="0" applyNumberFormat="1" applyFont="1" applyProtection="1">
      <protection hidden="1"/>
    </xf>
    <xf numFmtId="182" fontId="30" fillId="0" borderId="0" xfId="0" applyNumberFormat="1" applyFont="1" applyProtection="1">
      <protection hidden="1"/>
    </xf>
    <xf numFmtId="14" fontId="33" fillId="0" borderId="0" xfId="0" applyNumberFormat="1" applyFont="1" applyProtection="1">
      <protection hidden="1"/>
    </xf>
    <xf numFmtId="0" fontId="32" fillId="0" borderId="0" xfId="0" applyFont="1" applyProtection="1">
      <protection hidden="1"/>
    </xf>
    <xf numFmtId="170" fontId="30" fillId="0" borderId="93" xfId="0" applyNumberFormat="1" applyFont="1" applyBorder="1" applyProtection="1">
      <protection hidden="1"/>
    </xf>
    <xf numFmtId="0" fontId="7" fillId="0" borderId="0" xfId="0" applyFont="1" applyAlignment="1" applyProtection="1">
      <alignment horizontal="right"/>
      <protection hidden="1"/>
    </xf>
    <xf numFmtId="0" fontId="30" fillId="0" borderId="0" xfId="0" quotePrefix="1" applyFont="1" applyProtection="1">
      <protection hidden="1"/>
    </xf>
    <xf numFmtId="183" fontId="7" fillId="0" borderId="0" xfId="0" applyNumberFormat="1" applyFont="1" applyAlignment="1" applyProtection="1">
      <alignment horizontal="left"/>
      <protection hidden="1"/>
    </xf>
    <xf numFmtId="0" fontId="30" fillId="0" borderId="0" xfId="0" applyFont="1" applyAlignment="1" applyProtection="1">
      <alignment horizontal="left"/>
      <protection hidden="1"/>
    </xf>
    <xf numFmtId="0" fontId="30" fillId="3" borderId="0" xfId="0" applyFont="1" applyFill="1" applyProtection="1">
      <protection hidden="1"/>
    </xf>
    <xf numFmtId="0" fontId="30" fillId="5" borderId="0" xfId="0" applyFont="1" applyFill="1" applyProtection="1">
      <protection hidden="1"/>
    </xf>
    <xf numFmtId="44" fontId="7" fillId="0" borderId="0" xfId="3" applyFont="1" applyAlignment="1" applyProtection="1">
      <alignment horizontal="left"/>
      <protection hidden="1"/>
    </xf>
    <xf numFmtId="0" fontId="34" fillId="0" borderId="0" xfId="0" applyFont="1" applyProtection="1">
      <protection hidden="1"/>
    </xf>
    <xf numFmtId="0" fontId="35" fillId="5" borderId="0" xfId="0" applyFont="1" applyFill="1" applyProtection="1">
      <protection hidden="1"/>
    </xf>
    <xf numFmtId="0" fontId="36" fillId="5" borderId="0" xfId="0" applyFont="1" applyFill="1" applyProtection="1">
      <protection hidden="1"/>
    </xf>
    <xf numFmtId="0" fontId="34" fillId="5" borderId="0" xfId="0" applyFont="1" applyFill="1" applyProtection="1">
      <protection hidden="1"/>
    </xf>
    <xf numFmtId="0" fontId="35" fillId="0" borderId="0" xfId="0" applyFont="1" applyProtection="1">
      <protection hidden="1"/>
    </xf>
    <xf numFmtId="0" fontId="35" fillId="0" borderId="0" xfId="0" applyFont="1" applyAlignment="1" applyProtection="1">
      <alignment horizontal="right"/>
      <protection hidden="1"/>
    </xf>
    <xf numFmtId="0" fontId="36" fillId="0" borderId="0" xfId="0" applyFont="1" applyProtection="1">
      <protection hidden="1"/>
    </xf>
    <xf numFmtId="0" fontId="35" fillId="3" borderId="0" xfId="0" applyFont="1" applyFill="1" applyProtection="1">
      <protection hidden="1"/>
    </xf>
    <xf numFmtId="0" fontId="34" fillId="3" borderId="0" xfId="0" applyFont="1" applyFill="1" applyProtection="1">
      <protection hidden="1"/>
    </xf>
    <xf numFmtId="167" fontId="7" fillId="0" borderId="0" xfId="0" applyNumberFormat="1" applyFont="1" applyAlignment="1" applyProtection="1">
      <alignment horizontal="left"/>
      <protection hidden="1"/>
    </xf>
    <xf numFmtId="167" fontId="32" fillId="0" borderId="0" xfId="0" applyNumberFormat="1" applyFont="1" applyAlignment="1" applyProtection="1">
      <alignment horizontal="left"/>
      <protection hidden="1"/>
    </xf>
    <xf numFmtId="0" fontId="20" fillId="0" borderId="99" xfId="0" applyFont="1" applyBorder="1" applyAlignment="1" applyProtection="1">
      <alignment horizontal="right"/>
      <protection hidden="1"/>
    </xf>
    <xf numFmtId="2" fontId="30" fillId="0" borderId="99" xfId="0" applyNumberFormat="1" applyFont="1" applyBorder="1" applyProtection="1">
      <protection hidden="1"/>
    </xf>
    <xf numFmtId="176" fontId="32" fillId="0" borderId="0" xfId="3" applyNumberFormat="1" applyFont="1" applyAlignment="1" applyProtection="1">
      <alignment horizontal="left" vertical="center"/>
      <protection hidden="1"/>
    </xf>
    <xf numFmtId="176" fontId="32" fillId="0" borderId="0" xfId="0" applyNumberFormat="1" applyFont="1" applyAlignment="1" applyProtection="1">
      <alignment horizontal="left"/>
      <protection hidden="1"/>
    </xf>
    <xf numFmtId="2" fontId="30" fillId="0" borderId="0" xfId="0" applyNumberFormat="1" applyFont="1" applyProtection="1">
      <protection hidden="1"/>
    </xf>
    <xf numFmtId="0" fontId="37" fillId="0" borderId="0" xfId="2" applyFont="1" applyProtection="1">
      <protection hidden="1"/>
    </xf>
    <xf numFmtId="0" fontId="38" fillId="0" borderId="0" xfId="0" applyFont="1" applyProtection="1">
      <protection hidden="1"/>
    </xf>
    <xf numFmtId="0" fontId="6" fillId="0" borderId="0" xfId="2" applyFont="1" applyProtection="1">
      <protection hidden="1"/>
    </xf>
    <xf numFmtId="14" fontId="7" fillId="0" borderId="0" xfId="2" applyNumberFormat="1" applyFont="1" applyAlignment="1" applyProtection="1">
      <alignment horizontal="right"/>
      <protection hidden="1"/>
    </xf>
    <xf numFmtId="0" fontId="0" fillId="0" borderId="0" xfId="0" applyAlignment="1" applyProtection="1">
      <alignment horizontal="right"/>
      <protection hidden="1"/>
    </xf>
    <xf numFmtId="1" fontId="4" fillId="0" borderId="0" xfId="2" applyNumberFormat="1" applyAlignment="1" applyProtection="1">
      <alignment horizontal="right"/>
      <protection hidden="1"/>
    </xf>
    <xf numFmtId="169" fontId="4" fillId="0" borderId="0" xfId="2" applyNumberFormat="1" applyAlignment="1" applyProtection="1">
      <alignment horizontal="right"/>
      <protection hidden="1"/>
    </xf>
    <xf numFmtId="0" fontId="21" fillId="0" borderId="0" xfId="2" applyFont="1" applyProtection="1">
      <protection hidden="1"/>
    </xf>
    <xf numFmtId="169" fontId="7" fillId="0" borderId="0" xfId="2" applyNumberFormat="1" applyFont="1" applyAlignment="1" applyProtection="1">
      <alignment horizontal="right"/>
      <protection hidden="1"/>
    </xf>
    <xf numFmtId="0" fontId="0" fillId="0" borderId="100" xfId="0" applyBorder="1" applyProtection="1">
      <protection hidden="1"/>
    </xf>
    <xf numFmtId="0" fontId="0" fillId="0" borderId="100" xfId="0" applyBorder="1" applyAlignment="1" applyProtection="1">
      <alignment horizontal="right"/>
      <protection hidden="1"/>
    </xf>
    <xf numFmtId="169" fontId="7" fillId="0" borderId="74" xfId="2" applyNumberFormat="1" applyFont="1" applyBorder="1" applyAlignment="1" applyProtection="1">
      <alignment horizontal="right"/>
      <protection hidden="1"/>
    </xf>
    <xf numFmtId="0" fontId="4" fillId="0" borderId="0" xfId="2" applyAlignment="1" applyProtection="1">
      <alignment horizontal="right"/>
      <protection hidden="1"/>
    </xf>
    <xf numFmtId="0" fontId="7" fillId="0" borderId="0" xfId="0" applyFont="1" applyAlignment="1" applyProtection="1">
      <alignment horizontal="center"/>
      <protection hidden="1"/>
    </xf>
    <xf numFmtId="0" fontId="4" fillId="0" borderId="0" xfId="2" applyAlignment="1" applyProtection="1">
      <alignment horizontal="center"/>
      <protection hidden="1"/>
    </xf>
    <xf numFmtId="169" fontId="10" fillId="0" borderId="0" xfId="2" applyNumberFormat="1" applyFont="1" applyAlignment="1" applyProtection="1">
      <alignment horizontal="right"/>
      <protection hidden="1"/>
    </xf>
    <xf numFmtId="169" fontId="10" fillId="0" borderId="0" xfId="2" applyNumberFormat="1" applyFont="1" applyAlignment="1" applyProtection="1">
      <alignment horizontal="center"/>
      <protection hidden="1"/>
    </xf>
    <xf numFmtId="0" fontId="10" fillId="0" borderId="0" xfId="2" applyFont="1" applyProtection="1">
      <protection hidden="1"/>
    </xf>
    <xf numFmtId="169" fontId="14" fillId="0" borderId="0" xfId="2" applyNumberFormat="1" applyFont="1" applyAlignment="1" applyProtection="1">
      <alignment horizontal="right"/>
      <protection hidden="1"/>
    </xf>
    <xf numFmtId="0" fontId="5" fillId="0" borderId="0" xfId="2" applyFont="1" applyAlignment="1" applyProtection="1">
      <alignment horizontal="center" vertical="center"/>
      <protection hidden="1"/>
    </xf>
    <xf numFmtId="0" fontId="4" fillId="0" borderId="4" xfId="2" applyBorder="1" applyProtection="1">
      <protection hidden="1"/>
    </xf>
    <xf numFmtId="0" fontId="4" fillId="0" borderId="5" xfId="2" applyBorder="1" applyProtection="1">
      <protection hidden="1"/>
    </xf>
    <xf numFmtId="0" fontId="26" fillId="0" borderId="0" xfId="0" applyFont="1" applyProtection="1">
      <protection locked="0" hidden="1"/>
    </xf>
    <xf numFmtId="0" fontId="4" fillId="0" borderId="14" xfId="2" applyBorder="1" applyProtection="1">
      <protection hidden="1"/>
    </xf>
    <xf numFmtId="0" fontId="4" fillId="0" borderId="15" xfId="2" applyBorder="1" applyProtection="1">
      <protection hidden="1"/>
    </xf>
    <xf numFmtId="164" fontId="4" fillId="0" borderId="0" xfId="2" applyNumberFormat="1" applyProtection="1">
      <protection hidden="1"/>
    </xf>
    <xf numFmtId="0" fontId="4" fillId="0" borderId="1" xfId="2" applyBorder="1" applyProtection="1">
      <protection hidden="1"/>
    </xf>
    <xf numFmtId="0" fontId="4" fillId="0" borderId="3" xfId="2" applyBorder="1" applyProtection="1">
      <protection hidden="1"/>
    </xf>
    <xf numFmtId="165" fontId="4" fillId="0" borderId="0" xfId="2" applyNumberFormat="1" applyAlignment="1" applyProtection="1">
      <alignment horizontal="center"/>
      <protection hidden="1"/>
    </xf>
    <xf numFmtId="0" fontId="6" fillId="0" borderId="0" xfId="2" applyFont="1" applyAlignment="1" applyProtection="1">
      <alignment horizontal="center"/>
      <protection hidden="1"/>
    </xf>
    <xf numFmtId="0" fontId="26" fillId="0" borderId="0" xfId="0" applyFont="1" applyAlignment="1" applyProtection="1">
      <alignment horizontal="left"/>
      <protection hidden="1"/>
    </xf>
    <xf numFmtId="0" fontId="4" fillId="0" borderId="0" xfId="2" applyAlignment="1" applyProtection="1">
      <alignment horizontal="center" vertical="center" wrapText="1"/>
      <protection hidden="1"/>
    </xf>
    <xf numFmtId="0" fontId="4" fillId="0" borderId="0" xfId="2" applyAlignment="1" applyProtection="1">
      <alignment horizontal="left"/>
      <protection hidden="1"/>
    </xf>
    <xf numFmtId="9" fontId="4" fillId="0" borderId="0" xfId="1" applyFont="1" applyFill="1" applyBorder="1" applyAlignment="1" applyProtection="1">
      <protection locked="0" hidden="1"/>
    </xf>
    <xf numFmtId="168" fontId="4" fillId="0" borderId="0" xfId="2" applyNumberFormat="1" applyAlignment="1" applyProtection="1">
      <alignment horizontal="center"/>
      <protection hidden="1"/>
    </xf>
    <xf numFmtId="9" fontId="4" fillId="0" borderId="0" xfId="1" applyFont="1" applyFill="1" applyBorder="1" applyAlignment="1" applyProtection="1">
      <alignment horizontal="center"/>
      <protection hidden="1"/>
    </xf>
    <xf numFmtId="0" fontId="4" fillId="0" borderId="26" xfId="2" applyBorder="1" applyAlignment="1" applyProtection="1">
      <alignment horizontal="center"/>
      <protection hidden="1"/>
    </xf>
    <xf numFmtId="0" fontId="9" fillId="0" borderId="0" xfId="2" applyFont="1" applyAlignment="1" applyProtection="1">
      <alignment horizontal="center"/>
      <protection hidden="1"/>
    </xf>
    <xf numFmtId="167" fontId="9" fillId="0" borderId="0" xfId="2" applyNumberFormat="1" applyFont="1" applyAlignment="1" applyProtection="1">
      <alignment horizontal="center"/>
      <protection hidden="1"/>
    </xf>
    <xf numFmtId="167" fontId="3" fillId="0" borderId="0" xfId="0" applyNumberFormat="1" applyFont="1" applyProtection="1">
      <protection hidden="1"/>
    </xf>
    <xf numFmtId="169" fontId="11" fillId="0" borderId="0" xfId="2" applyNumberFormat="1" applyFont="1" applyAlignment="1" applyProtection="1">
      <alignment horizontal="right"/>
      <protection hidden="1"/>
    </xf>
    <xf numFmtId="169" fontId="14" fillId="0" borderId="0" xfId="2" applyNumberFormat="1" applyFont="1" applyAlignment="1" applyProtection="1">
      <alignment horizontal="center"/>
      <protection hidden="1"/>
    </xf>
    <xf numFmtId="0" fontId="6" fillId="0" borderId="0" xfId="2" applyFont="1" applyAlignment="1" applyProtection="1">
      <alignment horizontal="right"/>
      <protection hidden="1"/>
    </xf>
    <xf numFmtId="169" fontId="4" fillId="0" borderId="0" xfId="2" applyNumberFormat="1" applyAlignment="1" applyProtection="1">
      <alignment horizontal="center"/>
      <protection hidden="1"/>
    </xf>
    <xf numFmtId="167" fontId="9" fillId="0" borderId="0" xfId="2" applyNumberFormat="1" applyFont="1" applyProtection="1">
      <protection hidden="1"/>
    </xf>
    <xf numFmtId="0" fontId="19" fillId="0" borderId="0" xfId="2" applyFont="1" applyProtection="1">
      <protection hidden="1"/>
    </xf>
    <xf numFmtId="0" fontId="19" fillId="0" borderId="0" xfId="2" applyFont="1" applyAlignment="1" applyProtection="1">
      <alignment horizontal="center"/>
      <protection hidden="1"/>
    </xf>
    <xf numFmtId="0" fontId="4" fillId="0" borderId="25" xfId="2" applyBorder="1" applyProtection="1">
      <protection hidden="1"/>
    </xf>
    <xf numFmtId="0" fontId="4" fillId="0" borderId="31" xfId="2" applyBorder="1" applyProtection="1">
      <protection hidden="1"/>
    </xf>
    <xf numFmtId="0" fontId="4" fillId="0" borderId="30" xfId="2" applyBorder="1" applyProtection="1">
      <protection hidden="1"/>
    </xf>
    <xf numFmtId="169" fontId="6" fillId="0" borderId="0" xfId="2" applyNumberFormat="1" applyFont="1" applyAlignment="1" applyProtection="1">
      <alignment horizontal="center"/>
      <protection hidden="1"/>
    </xf>
    <xf numFmtId="0" fontId="19" fillId="0" borderId="69" xfId="2" applyFont="1" applyBorder="1" applyProtection="1">
      <protection hidden="1"/>
    </xf>
    <xf numFmtId="0" fontId="19" fillId="0" borderId="69" xfId="2" applyFont="1" applyBorder="1" applyAlignment="1" applyProtection="1">
      <alignment horizontal="center"/>
      <protection hidden="1"/>
    </xf>
    <xf numFmtId="174" fontId="4" fillId="0" borderId="0" xfId="2" applyNumberFormat="1" applyAlignment="1" applyProtection="1">
      <alignment horizontal="center"/>
      <protection hidden="1"/>
    </xf>
    <xf numFmtId="169" fontId="7" fillId="0" borderId="0" xfId="2" applyNumberFormat="1" applyFont="1" applyAlignment="1" applyProtection="1">
      <alignment horizontal="left"/>
      <protection hidden="1"/>
    </xf>
    <xf numFmtId="169" fontId="7" fillId="0" borderId="0" xfId="2" applyNumberFormat="1" applyFont="1" applyAlignment="1" applyProtection="1">
      <alignment horizontal="center"/>
      <protection hidden="1"/>
    </xf>
    <xf numFmtId="0" fontId="20" fillId="0" borderId="0" xfId="2" applyFont="1" applyProtection="1">
      <protection hidden="1"/>
    </xf>
    <xf numFmtId="0" fontId="18" fillId="0" borderId="71" xfId="2" applyFont="1" applyBorder="1" applyAlignment="1" applyProtection="1">
      <alignment horizontal="left"/>
      <protection hidden="1"/>
    </xf>
    <xf numFmtId="0" fontId="19" fillId="0" borderId="72" xfId="2" applyFont="1" applyBorder="1" applyProtection="1">
      <protection hidden="1"/>
    </xf>
    <xf numFmtId="0" fontId="10" fillId="0" borderId="72" xfId="2" applyFont="1" applyBorder="1" applyProtection="1">
      <protection hidden="1"/>
    </xf>
    <xf numFmtId="0" fontId="10" fillId="0" borderId="73" xfId="2" applyFont="1" applyBorder="1" applyProtection="1">
      <protection hidden="1"/>
    </xf>
    <xf numFmtId="167" fontId="4" fillId="0" borderId="0" xfId="2" applyNumberFormat="1" applyAlignment="1" applyProtection="1">
      <alignment horizontal="center"/>
      <protection hidden="1"/>
    </xf>
    <xf numFmtId="0" fontId="19" fillId="0" borderId="75" xfId="2" applyFont="1" applyBorder="1" applyAlignment="1" applyProtection="1">
      <alignment horizontal="left"/>
      <protection hidden="1"/>
    </xf>
    <xf numFmtId="0" fontId="19" fillId="0" borderId="77" xfId="2" applyFont="1" applyBorder="1" applyProtection="1">
      <protection hidden="1"/>
    </xf>
    <xf numFmtId="0" fontId="19" fillId="0" borderId="78" xfId="2" applyFont="1" applyBorder="1" applyProtection="1">
      <protection hidden="1"/>
    </xf>
    <xf numFmtId="0" fontId="22" fillId="0" borderId="0" xfId="2" applyFont="1" applyAlignment="1" applyProtection="1">
      <alignment horizontal="right"/>
      <protection hidden="1"/>
    </xf>
    <xf numFmtId="0" fontId="41" fillId="0" borderId="0" xfId="0" applyFont="1" applyProtection="1">
      <protection hidden="1"/>
    </xf>
    <xf numFmtId="0" fontId="41" fillId="0" borderId="0" xfId="0" applyFont="1" applyAlignment="1" applyProtection="1">
      <alignment horizontal="right"/>
      <protection hidden="1"/>
    </xf>
    <xf numFmtId="0" fontId="42" fillId="0" borderId="0" xfId="0" applyFont="1" applyAlignment="1" applyProtection="1">
      <alignment horizontal="right"/>
      <protection hidden="1"/>
    </xf>
    <xf numFmtId="0" fontId="41" fillId="0" borderId="0" xfId="0" applyFont="1" applyAlignment="1" applyProtection="1">
      <alignment horizontal="center"/>
      <protection hidden="1"/>
    </xf>
    <xf numFmtId="0" fontId="43" fillId="0" borderId="0" xfId="0" applyFont="1" applyProtection="1">
      <protection hidden="1"/>
    </xf>
    <xf numFmtId="0" fontId="44" fillId="0" borderId="0" xfId="0" applyFont="1" applyProtection="1">
      <protection hidden="1"/>
    </xf>
    <xf numFmtId="2" fontId="41" fillId="0" borderId="0" xfId="0" applyNumberFormat="1" applyFont="1" applyAlignment="1" applyProtection="1">
      <alignment horizontal="center"/>
      <protection hidden="1"/>
    </xf>
    <xf numFmtId="0" fontId="0" fillId="0" borderId="74" xfId="0" quotePrefix="1" applyBorder="1" applyAlignment="1" applyProtection="1">
      <alignment horizontal="center"/>
      <protection hidden="1"/>
    </xf>
    <xf numFmtId="14" fontId="0" fillId="0" borderId="74" xfId="0" applyNumberFormat="1" applyBorder="1" applyProtection="1">
      <protection hidden="1"/>
    </xf>
    <xf numFmtId="176" fontId="0" fillId="6" borderId="74" xfId="0" applyNumberFormat="1" applyFill="1" applyBorder="1" applyProtection="1">
      <protection hidden="1"/>
    </xf>
    <xf numFmtId="0" fontId="37" fillId="0" borderId="0" xfId="0" applyFont="1"/>
    <xf numFmtId="0" fontId="7" fillId="0" borderId="0" xfId="0" applyFont="1"/>
    <xf numFmtId="0" fontId="7" fillId="2"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74" xfId="0" applyFont="1" applyFill="1" applyBorder="1" applyAlignment="1">
      <alignment horizontal="center" vertical="center"/>
    </xf>
    <xf numFmtId="0" fontId="0" fillId="0" borderId="0" xfId="0" applyAlignment="1">
      <alignment horizontal="center"/>
    </xf>
    <xf numFmtId="14" fontId="0" fillId="0" borderId="0" xfId="0" applyNumberFormat="1" applyAlignment="1">
      <alignment horizontal="center"/>
    </xf>
    <xf numFmtId="0" fontId="0" fillId="4" borderId="74" xfId="0" applyFill="1" applyBorder="1" applyAlignment="1">
      <alignment horizontal="center" vertical="center" wrapText="1"/>
    </xf>
    <xf numFmtId="171" fontId="11" fillId="0" borderId="11" xfId="1" applyNumberFormat="1" applyFont="1" applyBorder="1" applyAlignment="1">
      <alignment horizontal="right"/>
    </xf>
    <xf numFmtId="171" fontId="11" fillId="0" borderId="13" xfId="1" applyNumberFormat="1" applyFont="1" applyBorder="1" applyAlignment="1">
      <alignment horizontal="right"/>
    </xf>
    <xf numFmtId="171" fontId="10" fillId="0" borderId="13" xfId="1" applyNumberFormat="1" applyFont="1" applyBorder="1" applyAlignment="1">
      <alignment horizontal="right"/>
    </xf>
    <xf numFmtId="171" fontId="0" fillId="0" borderId="34" xfId="0" applyNumberFormat="1" applyBorder="1"/>
    <xf numFmtId="171" fontId="0" fillId="0" borderId="0" xfId="0" applyNumberFormat="1"/>
    <xf numFmtId="0" fontId="0" fillId="7" borderId="1" xfId="0" applyFill="1" applyBorder="1" applyAlignment="1">
      <alignment horizontal="center" vertical="center" wrapText="1"/>
    </xf>
    <xf numFmtId="171" fontId="11" fillId="0" borderId="34" xfId="1" applyNumberFormat="1" applyFont="1" applyBorder="1" applyAlignment="1">
      <alignment horizontal="right"/>
    </xf>
    <xf numFmtId="171" fontId="11" fillId="0" borderId="87" xfId="1" applyNumberFormat="1" applyFont="1" applyBorder="1" applyAlignment="1">
      <alignment horizontal="right"/>
    </xf>
    <xf numFmtId="171" fontId="10" fillId="0" borderId="35" xfId="1" applyNumberFormat="1" applyFont="1" applyBorder="1" applyAlignment="1">
      <alignment horizontal="right"/>
    </xf>
    <xf numFmtId="0" fontId="0" fillId="0" borderId="34" xfId="0" applyBorder="1"/>
    <xf numFmtId="0" fontId="0" fillId="0" borderId="87" xfId="0" applyBorder="1"/>
    <xf numFmtId="0" fontId="0" fillId="0" borderId="35" xfId="0" applyBorder="1"/>
    <xf numFmtId="0" fontId="3" fillId="0" borderId="0" xfId="0" applyFont="1" applyProtection="1">
      <protection hidden="1"/>
    </xf>
    <xf numFmtId="0" fontId="39" fillId="0" borderId="0" xfId="0" applyFont="1" applyAlignment="1" applyProtection="1">
      <alignment horizontal="right"/>
      <protection hidden="1"/>
    </xf>
    <xf numFmtId="2" fontId="39" fillId="0" borderId="0" xfId="0" applyNumberFormat="1" applyFont="1" applyAlignment="1" applyProtection="1">
      <alignment horizontal="center"/>
      <protection hidden="1"/>
    </xf>
    <xf numFmtId="0" fontId="39" fillId="0" borderId="0" xfId="0" applyFont="1" applyProtection="1">
      <protection hidden="1"/>
    </xf>
    <xf numFmtId="0" fontId="45" fillId="0" borderId="0" xfId="0" applyFont="1" applyAlignment="1" applyProtection="1">
      <alignment horizontal="left"/>
      <protection hidden="1"/>
    </xf>
    <xf numFmtId="0" fontId="39" fillId="0" borderId="0" xfId="0" applyFont="1" applyAlignment="1" applyProtection="1">
      <alignment horizontal="center"/>
      <protection locked="0"/>
    </xf>
    <xf numFmtId="0" fontId="0" fillId="0" borderId="0" xfId="0" quotePrefix="1" applyProtection="1">
      <protection hidden="1"/>
    </xf>
    <xf numFmtId="0" fontId="46" fillId="0" borderId="0" xfId="2" applyFont="1" applyProtection="1">
      <protection hidden="1"/>
    </xf>
    <xf numFmtId="0" fontId="0" fillId="8" borderId="74" xfId="0" applyFill="1" applyBorder="1" applyAlignment="1" applyProtection="1">
      <alignment horizontal="center"/>
      <protection locked="0"/>
    </xf>
    <xf numFmtId="0" fontId="26" fillId="8" borderId="0" xfId="0" applyFont="1" applyFill="1" applyAlignment="1" applyProtection="1">
      <alignment horizontal="center" vertical="center"/>
      <protection locked="0" hidden="1"/>
    </xf>
    <xf numFmtId="0" fontId="0" fillId="8" borderId="0" xfId="0" applyFill="1" applyAlignment="1" applyProtection="1">
      <alignment horizontal="center"/>
      <protection locked="0" hidden="1"/>
    </xf>
    <xf numFmtId="14" fontId="0" fillId="8" borderId="74" xfId="0" applyNumberFormat="1" applyFill="1" applyBorder="1" applyProtection="1">
      <protection locked="0"/>
    </xf>
    <xf numFmtId="176" fontId="0" fillId="8" borderId="74" xfId="0" applyNumberFormat="1" applyFill="1" applyBorder="1" applyProtection="1">
      <protection locked="0"/>
    </xf>
    <xf numFmtId="176" fontId="0" fillId="8" borderId="74" xfId="0" applyNumberFormat="1" applyFill="1" applyBorder="1" applyProtection="1">
      <protection hidden="1"/>
    </xf>
    <xf numFmtId="0" fontId="3" fillId="0" borderId="0" xfId="0" applyFont="1" applyAlignment="1" applyProtection="1">
      <alignment horizontal="center"/>
      <protection hidden="1"/>
    </xf>
    <xf numFmtId="0" fontId="0" fillId="8" borderId="74" xfId="0" applyFill="1" applyBorder="1" applyProtection="1">
      <protection locked="0"/>
    </xf>
    <xf numFmtId="44" fontId="0" fillId="8" borderId="74" xfId="3" applyFont="1" applyFill="1" applyBorder="1" applyProtection="1">
      <protection locked="0"/>
    </xf>
    <xf numFmtId="2" fontId="30" fillId="8" borderId="94" xfId="0" applyNumberFormat="1" applyFont="1" applyFill="1" applyBorder="1" applyProtection="1">
      <protection locked="0"/>
    </xf>
    <xf numFmtId="2" fontId="30" fillId="8" borderId="95" xfId="0" applyNumberFormat="1" applyFont="1" applyFill="1" applyBorder="1" applyProtection="1">
      <protection locked="0"/>
    </xf>
    <xf numFmtId="2" fontId="30" fillId="8" borderId="96" xfId="0" applyNumberFormat="1" applyFont="1" applyFill="1" applyBorder="1" applyProtection="1">
      <protection locked="0"/>
    </xf>
    <xf numFmtId="2" fontId="30" fillId="8" borderId="97" xfId="0" applyNumberFormat="1" applyFont="1" applyFill="1" applyBorder="1" applyProtection="1">
      <protection locked="0"/>
    </xf>
    <xf numFmtId="2" fontId="30" fillId="8" borderId="98" xfId="0" applyNumberFormat="1" applyFont="1" applyFill="1" applyBorder="1" applyProtection="1">
      <protection locked="0"/>
    </xf>
    <xf numFmtId="0" fontId="41" fillId="10" borderId="0" xfId="0" applyFont="1" applyFill="1" applyAlignment="1" applyProtection="1">
      <alignment horizontal="center"/>
      <protection locked="0"/>
    </xf>
    <xf numFmtId="171" fontId="11" fillId="8" borderId="13" xfId="1" applyNumberFormat="1" applyFont="1" applyFill="1" applyBorder="1" applyAlignment="1" applyProtection="1">
      <alignment horizontal="right"/>
      <protection locked="0"/>
    </xf>
    <xf numFmtId="171" fontId="10" fillId="8" borderId="20" xfId="1" applyNumberFormat="1" applyFont="1" applyFill="1" applyBorder="1" applyAlignment="1" applyProtection="1">
      <alignment horizontal="right"/>
      <protection locked="0"/>
    </xf>
    <xf numFmtId="171" fontId="11" fillId="8" borderId="87" xfId="1" applyNumberFormat="1" applyFont="1" applyFill="1" applyBorder="1" applyAlignment="1" applyProtection="1">
      <alignment horizontal="right"/>
      <protection locked="0"/>
    </xf>
    <xf numFmtId="171" fontId="10" fillId="8" borderId="87" xfId="1" applyNumberFormat="1" applyFont="1" applyFill="1" applyBorder="1" applyAlignment="1" applyProtection="1">
      <alignment horizontal="right"/>
      <protection locked="0"/>
    </xf>
    <xf numFmtId="0" fontId="26" fillId="0" borderId="0" xfId="0" applyFont="1" applyProtection="1">
      <protection hidden="1"/>
    </xf>
    <xf numFmtId="0" fontId="0" fillId="8" borderId="74" xfId="0" applyFill="1" applyBorder="1" applyAlignment="1" applyProtection="1">
      <alignment horizontal="center"/>
      <protection hidden="1"/>
    </xf>
    <xf numFmtId="0" fontId="26" fillId="8" borderId="0" xfId="0" applyFont="1" applyFill="1" applyAlignment="1" applyProtection="1">
      <alignment horizontal="center" vertical="center"/>
      <protection hidden="1"/>
    </xf>
    <xf numFmtId="0" fontId="0" fillId="8" borderId="0" xfId="0" applyFill="1" applyAlignment="1" applyProtection="1">
      <alignment horizontal="center"/>
      <protection hidden="1"/>
    </xf>
    <xf numFmtId="9" fontId="4" fillId="0" borderId="0" xfId="1" applyFont="1" applyFill="1" applyBorder="1" applyAlignment="1" applyProtection="1">
      <protection hidden="1"/>
    </xf>
    <xf numFmtId="14" fontId="0" fillId="8" borderId="74" xfId="0" applyNumberFormat="1" applyFill="1" applyBorder="1" applyProtection="1">
      <protection hidden="1"/>
    </xf>
    <xf numFmtId="0" fontId="1" fillId="3" borderId="0" xfId="0" applyFont="1" applyFill="1" applyProtection="1">
      <protection hidden="1"/>
    </xf>
    <xf numFmtId="0" fontId="40" fillId="0" borderId="0" xfId="2" applyFont="1" applyAlignment="1" applyProtection="1">
      <alignment horizontal="right"/>
      <protection hidden="1"/>
    </xf>
    <xf numFmtId="164" fontId="38" fillId="0" borderId="0" xfId="0" applyNumberFormat="1" applyFont="1" applyAlignment="1" applyProtection="1">
      <alignment horizontal="center" vertical="center"/>
      <protection hidden="1"/>
    </xf>
    <xf numFmtId="0" fontId="26" fillId="0" borderId="0" xfId="0" applyFont="1" applyAlignment="1" applyProtection="1">
      <alignment horizontal="center"/>
      <protection hidden="1"/>
    </xf>
    <xf numFmtId="0" fontId="0" fillId="8" borderId="74" xfId="0" applyFill="1" applyBorder="1" applyProtection="1">
      <protection hidden="1"/>
    </xf>
    <xf numFmtId="164" fontId="0" fillId="0" borderId="0" xfId="0" applyNumberFormat="1" applyProtection="1">
      <protection hidden="1"/>
    </xf>
    <xf numFmtId="44" fontId="0" fillId="8" borderId="74" xfId="3" applyFont="1" applyFill="1" applyBorder="1" applyProtection="1">
      <protection hidden="1"/>
    </xf>
    <xf numFmtId="184" fontId="4" fillId="0" borderId="0" xfId="2" applyNumberFormat="1" applyProtection="1">
      <protection hidden="1"/>
    </xf>
    <xf numFmtId="0" fontId="0" fillId="0" borderId="0" xfId="0" applyAlignment="1" applyProtection="1">
      <alignment horizontal="center" vertical="center"/>
      <protection hidden="1"/>
    </xf>
    <xf numFmtId="0" fontId="20" fillId="0" borderId="0" xfId="2" applyFont="1" applyAlignment="1" applyProtection="1">
      <alignment horizontal="center" vertical="center"/>
      <protection hidden="1"/>
    </xf>
    <xf numFmtId="169" fontId="4" fillId="0" borderId="0" xfId="2" applyNumberFormat="1" applyProtection="1">
      <protection hidden="1"/>
    </xf>
    <xf numFmtId="174" fontId="4" fillId="0" borderId="0" xfId="2" applyNumberFormat="1" applyProtection="1">
      <protection hidden="1"/>
    </xf>
    <xf numFmtId="173" fontId="4" fillId="0" borderId="0" xfId="2" applyNumberFormat="1" applyProtection="1">
      <protection hidden="1"/>
    </xf>
    <xf numFmtId="169" fontId="4" fillId="0" borderId="0" xfId="2" applyNumberFormat="1" applyAlignment="1" applyProtection="1">
      <alignment horizontal="center" vertical="center"/>
      <protection hidden="1"/>
    </xf>
    <xf numFmtId="0" fontId="15" fillId="0" borderId="12" xfId="2" applyFont="1" applyBorder="1" applyAlignment="1" applyProtection="1">
      <alignment horizontal="left"/>
      <protection hidden="1"/>
    </xf>
    <xf numFmtId="0" fontId="15" fillId="0" borderId="0" xfId="2" applyFont="1" applyAlignment="1" applyProtection="1">
      <alignment horizontal="left"/>
      <protection hidden="1"/>
    </xf>
    <xf numFmtId="0" fontId="16" fillId="0" borderId="12" xfId="2" applyFont="1" applyBorder="1" applyAlignment="1" applyProtection="1">
      <alignment horizontal="left"/>
      <protection hidden="1"/>
    </xf>
    <xf numFmtId="0" fontId="16" fillId="0" borderId="0" xfId="2" applyFont="1" applyAlignment="1" applyProtection="1">
      <alignment horizontal="left"/>
      <protection hidden="1"/>
    </xf>
    <xf numFmtId="0" fontId="0" fillId="8" borderId="87" xfId="0" applyFill="1" applyBorder="1" applyProtection="1">
      <protection locked="0"/>
    </xf>
    <xf numFmtId="14" fontId="3" fillId="0" borderId="0" xfId="0" applyNumberFormat="1" applyFont="1" applyProtection="1">
      <protection locked="0"/>
    </xf>
    <xf numFmtId="10" fontId="3" fillId="0" borderId="0" xfId="1" applyNumberFormat="1" applyFont="1" applyBorder="1" applyProtection="1">
      <protection locked="0"/>
    </xf>
    <xf numFmtId="0" fontId="3" fillId="0" borderId="0" xfId="0" applyFont="1" applyProtection="1">
      <protection locked="0"/>
    </xf>
    <xf numFmtId="171" fontId="11" fillId="8" borderId="105" xfId="1" applyNumberFormat="1" applyFont="1" applyFill="1" applyBorder="1" applyAlignment="1" applyProtection="1">
      <alignment horizontal="right"/>
      <protection locked="0"/>
    </xf>
    <xf numFmtId="0" fontId="4" fillId="0" borderId="12" xfId="2" applyBorder="1" applyProtection="1">
      <protection hidden="1"/>
    </xf>
    <xf numFmtId="0" fontId="4" fillId="0" borderId="105" xfId="2" applyBorder="1" applyProtection="1">
      <protection hidden="1"/>
    </xf>
    <xf numFmtId="0" fontId="4" fillId="0" borderId="12" xfId="2" applyBorder="1" applyAlignment="1" applyProtection="1">
      <alignment horizontal="left"/>
      <protection hidden="1"/>
    </xf>
    <xf numFmtId="0" fontId="0" fillId="0" borderId="0" xfId="0" applyAlignment="1" applyProtection="1">
      <alignment horizontal="left"/>
      <protection hidden="1"/>
    </xf>
    <xf numFmtId="0" fontId="0" fillId="0" borderId="13" xfId="0" applyBorder="1" applyAlignment="1" applyProtection="1">
      <alignment horizontal="left"/>
      <protection hidden="1"/>
    </xf>
    <xf numFmtId="0" fontId="4" fillId="0" borderId="1" xfId="2" applyBorder="1" applyAlignment="1" applyProtection="1">
      <alignment horizontal="left"/>
      <protection hidden="1"/>
    </xf>
    <xf numFmtId="0" fontId="4" fillId="0" borderId="2" xfId="2" applyBorder="1" applyAlignment="1" applyProtection="1">
      <alignment horizontal="left"/>
      <protection hidden="1"/>
    </xf>
    <xf numFmtId="0" fontId="4" fillId="0" borderId="3" xfId="2" applyBorder="1" applyAlignment="1" applyProtection="1">
      <alignment horizontal="left"/>
      <protection hidden="1"/>
    </xf>
    <xf numFmtId="174" fontId="10" fillId="9" borderId="1" xfId="2" applyNumberFormat="1" applyFont="1" applyFill="1" applyBorder="1" applyAlignment="1" applyProtection="1">
      <alignment horizontal="center"/>
      <protection locked="0"/>
    </xf>
    <xf numFmtId="174" fontId="10" fillId="9" borderId="2" xfId="2" applyNumberFormat="1" applyFont="1" applyFill="1" applyBorder="1" applyAlignment="1" applyProtection="1">
      <alignment horizontal="center"/>
      <protection locked="0"/>
    </xf>
    <xf numFmtId="174" fontId="10" fillId="9" borderId="3" xfId="2" applyNumberFormat="1" applyFont="1" applyFill="1" applyBorder="1" applyAlignment="1" applyProtection="1">
      <alignment horizontal="center"/>
      <protection locked="0"/>
    </xf>
    <xf numFmtId="174" fontId="10" fillId="0" borderId="1" xfId="2" applyNumberFormat="1" applyFont="1" applyBorder="1" applyAlignment="1" applyProtection="1">
      <alignment horizontal="center"/>
      <protection hidden="1"/>
    </xf>
    <xf numFmtId="174" fontId="10" fillId="0" borderId="2" xfId="2" applyNumberFormat="1" applyFont="1" applyBorder="1" applyAlignment="1" applyProtection="1">
      <alignment horizontal="center"/>
      <protection hidden="1"/>
    </xf>
    <xf numFmtId="174" fontId="10" fillId="0" borderId="3" xfId="2" applyNumberFormat="1" applyFont="1" applyBorder="1" applyAlignment="1" applyProtection="1">
      <alignment horizontal="center"/>
      <protection hidden="1"/>
    </xf>
    <xf numFmtId="0" fontId="4" fillId="0" borderId="0" xfId="2" applyAlignment="1" applyProtection="1">
      <alignment horizontal="right"/>
      <protection hidden="1"/>
    </xf>
    <xf numFmtId="0" fontId="4" fillId="0" borderId="104" xfId="2" applyBorder="1" applyAlignment="1" applyProtection="1">
      <alignment horizontal="right"/>
      <protection hidden="1"/>
    </xf>
    <xf numFmtId="0" fontId="28" fillId="0" borderId="0" xfId="2" quotePrefix="1" applyFont="1" applyAlignment="1" applyProtection="1">
      <alignment horizontal="left"/>
      <protection hidden="1"/>
    </xf>
    <xf numFmtId="169" fontId="14" fillId="0" borderId="1" xfId="2" applyNumberFormat="1" applyFont="1" applyBorder="1" applyAlignment="1" applyProtection="1">
      <alignment horizontal="right"/>
      <protection hidden="1"/>
    </xf>
    <xf numFmtId="169" fontId="14" fillId="0" borderId="2" xfId="2" applyNumberFormat="1" applyFont="1" applyBorder="1" applyAlignment="1" applyProtection="1">
      <alignment horizontal="right"/>
      <protection hidden="1"/>
    </xf>
    <xf numFmtId="169" fontId="14" fillId="0" borderId="3" xfId="2" applyNumberFormat="1" applyFont="1" applyBorder="1" applyAlignment="1" applyProtection="1">
      <alignment horizontal="right"/>
      <protection hidden="1"/>
    </xf>
    <xf numFmtId="174" fontId="10" fillId="9" borderId="18" xfId="2" applyNumberFormat="1" applyFont="1" applyFill="1" applyBorder="1" applyAlignment="1" applyProtection="1">
      <alignment horizontal="center"/>
      <protection locked="0"/>
    </xf>
    <xf numFmtId="174" fontId="10" fillId="9" borderId="19" xfId="2" applyNumberFormat="1" applyFont="1" applyFill="1" applyBorder="1" applyAlignment="1" applyProtection="1">
      <alignment horizontal="center"/>
      <protection locked="0"/>
    </xf>
    <xf numFmtId="174" fontId="10" fillId="9" borderId="20" xfId="2" applyNumberFormat="1" applyFont="1" applyFill="1" applyBorder="1" applyAlignment="1" applyProtection="1">
      <alignment horizontal="center"/>
      <protection locked="0"/>
    </xf>
    <xf numFmtId="174" fontId="29" fillId="0" borderId="1" xfId="2" applyNumberFormat="1" applyFont="1" applyBorder="1" applyAlignment="1" applyProtection="1">
      <alignment horizontal="center"/>
      <protection hidden="1"/>
    </xf>
    <xf numFmtId="174" fontId="29" fillId="0" borderId="2" xfId="2" applyNumberFormat="1" applyFont="1" applyBorder="1" applyAlignment="1" applyProtection="1">
      <alignment horizontal="center"/>
      <protection hidden="1"/>
    </xf>
    <xf numFmtId="174" fontId="29" fillId="0" borderId="3" xfId="2" applyNumberFormat="1" applyFont="1" applyBorder="1" applyAlignment="1" applyProtection="1">
      <alignment horizontal="center"/>
      <protection hidden="1"/>
    </xf>
    <xf numFmtId="174" fontId="10" fillId="0" borderId="9" xfId="2" applyNumberFormat="1" applyFont="1" applyBorder="1" applyAlignment="1" applyProtection="1">
      <alignment horizontal="center"/>
      <protection hidden="1"/>
    </xf>
    <xf numFmtId="174" fontId="10" fillId="0" borderId="10" xfId="2" applyNumberFormat="1" applyFont="1" applyBorder="1" applyAlignment="1" applyProtection="1">
      <alignment horizontal="center"/>
      <protection hidden="1"/>
    </xf>
    <xf numFmtId="174" fontId="10" fillId="0" borderId="11" xfId="2" applyNumberFormat="1" applyFont="1" applyBorder="1" applyAlignment="1" applyProtection="1">
      <alignment horizontal="center"/>
      <protection hidden="1"/>
    </xf>
    <xf numFmtId="0" fontId="4" fillId="0" borderId="9" xfId="2" applyBorder="1" applyAlignment="1" applyProtection="1">
      <alignment horizontal="center" wrapText="1"/>
      <protection hidden="1"/>
    </xf>
    <xf numFmtId="0" fontId="4" fillId="0" borderId="10" xfId="2" applyBorder="1" applyAlignment="1" applyProtection="1">
      <alignment horizontal="center" wrapText="1"/>
      <protection hidden="1"/>
    </xf>
    <xf numFmtId="0" fontId="4" fillId="0" borderId="83" xfId="2" applyBorder="1" applyAlignment="1" applyProtection="1">
      <alignment horizontal="center" wrapText="1"/>
      <protection hidden="1"/>
    </xf>
    <xf numFmtId="0" fontId="4" fillId="0" borderId="18" xfId="2" applyBorder="1" applyAlignment="1" applyProtection="1">
      <alignment horizontal="center" wrapText="1"/>
      <protection hidden="1"/>
    </xf>
    <xf numFmtId="0" fontId="4" fillId="0" borderId="19" xfId="2" applyBorder="1" applyAlignment="1" applyProtection="1">
      <alignment horizontal="center" wrapText="1"/>
      <protection hidden="1"/>
    </xf>
    <xf numFmtId="0" fontId="4" fillId="0" borderId="37" xfId="2" applyBorder="1" applyAlignment="1" applyProtection="1">
      <alignment horizontal="center" wrapText="1"/>
      <protection hidden="1"/>
    </xf>
    <xf numFmtId="0" fontId="4" fillId="0" borderId="84" xfId="2" applyBorder="1" applyAlignment="1" applyProtection="1">
      <alignment horizontal="center" vertical="center" wrapText="1"/>
      <protection hidden="1"/>
    </xf>
    <xf numFmtId="0" fontId="4" fillId="0" borderId="10" xfId="2" applyBorder="1" applyAlignment="1" applyProtection="1">
      <alignment horizontal="center" vertical="center" wrapText="1"/>
      <protection hidden="1"/>
    </xf>
    <xf numFmtId="0" fontId="4" fillId="0" borderId="11" xfId="2" applyBorder="1" applyAlignment="1" applyProtection="1">
      <alignment horizontal="center" vertical="center" wrapText="1"/>
      <protection hidden="1"/>
    </xf>
    <xf numFmtId="0" fontId="4" fillId="0" borderId="38" xfId="2" applyBorder="1" applyAlignment="1" applyProtection="1">
      <alignment horizontal="center" vertical="center" wrapText="1"/>
      <protection hidden="1"/>
    </xf>
    <xf numFmtId="0" fontId="4" fillId="0" borderId="19" xfId="2" applyBorder="1" applyAlignment="1" applyProtection="1">
      <alignment horizontal="center" vertical="center" wrapText="1"/>
      <protection hidden="1"/>
    </xf>
    <xf numFmtId="0" fontId="4" fillId="0" borderId="20" xfId="2" applyBorder="1" applyAlignment="1" applyProtection="1">
      <alignment horizontal="center" vertical="center" wrapText="1"/>
      <protection hidden="1"/>
    </xf>
    <xf numFmtId="174" fontId="10" fillId="9" borderId="12" xfId="2" applyNumberFormat="1" applyFont="1" applyFill="1" applyBorder="1" applyAlignment="1" applyProtection="1">
      <alignment horizontal="center"/>
      <protection locked="0"/>
    </xf>
    <xf numFmtId="174" fontId="10" fillId="9" borderId="0" xfId="2" applyNumberFormat="1" applyFont="1" applyFill="1" applyAlignment="1" applyProtection="1">
      <alignment horizontal="center"/>
      <protection locked="0"/>
    </xf>
    <xf numFmtId="174" fontId="10" fillId="9" borderId="105" xfId="2" applyNumberFormat="1" applyFont="1" applyFill="1" applyBorder="1" applyAlignment="1" applyProtection="1">
      <alignment horizontal="center"/>
      <protection locked="0"/>
    </xf>
    <xf numFmtId="0" fontId="21" fillId="0" borderId="12" xfId="2" applyFont="1" applyBorder="1" applyAlignment="1" applyProtection="1">
      <alignment horizontal="right" vertical="center"/>
      <protection hidden="1"/>
    </xf>
    <xf numFmtId="0" fontId="21" fillId="0" borderId="0" xfId="2" applyFont="1" applyAlignment="1" applyProtection="1">
      <alignment horizontal="right" vertical="center"/>
      <protection hidden="1"/>
    </xf>
    <xf numFmtId="0" fontId="21" fillId="0" borderId="103" xfId="2" applyFont="1" applyBorder="1" applyAlignment="1" applyProtection="1">
      <alignment horizontal="right" vertical="center"/>
      <protection hidden="1"/>
    </xf>
    <xf numFmtId="0" fontId="4" fillId="0" borderId="12" xfId="2" applyBorder="1" applyAlignment="1" applyProtection="1">
      <alignment horizontal="right" vertical="center"/>
      <protection hidden="1"/>
    </xf>
    <xf numFmtId="0" fontId="4" fillId="0" borderId="0" xfId="2" applyAlignment="1" applyProtection="1">
      <alignment horizontal="right" vertical="center"/>
      <protection hidden="1"/>
    </xf>
    <xf numFmtId="0" fontId="4" fillId="0" borderId="103" xfId="2" applyBorder="1" applyAlignment="1" applyProtection="1">
      <alignment horizontal="right" vertical="center"/>
      <protection hidden="1"/>
    </xf>
    <xf numFmtId="0" fontId="10" fillId="0" borderId="18" xfId="2" applyFont="1" applyBorder="1" applyAlignment="1" applyProtection="1">
      <alignment horizontal="left"/>
      <protection hidden="1"/>
    </xf>
    <xf numFmtId="0" fontId="10" fillId="0" borderId="19" xfId="2" applyFont="1" applyBorder="1" applyAlignment="1" applyProtection="1">
      <alignment horizontal="left"/>
      <protection hidden="1"/>
    </xf>
    <xf numFmtId="169" fontId="10" fillId="0" borderId="53" xfId="2" applyNumberFormat="1" applyFont="1" applyBorder="1" applyAlignment="1" applyProtection="1">
      <alignment horizontal="right"/>
      <protection hidden="1"/>
    </xf>
    <xf numFmtId="169" fontId="10" fillId="0" borderId="54" xfId="2" applyNumberFormat="1" applyFont="1" applyBorder="1" applyAlignment="1" applyProtection="1">
      <alignment horizontal="right"/>
      <protection hidden="1"/>
    </xf>
    <xf numFmtId="169" fontId="10" fillId="0" borderId="55" xfId="2" applyNumberFormat="1" applyFont="1" applyBorder="1" applyAlignment="1" applyProtection="1">
      <alignment horizontal="right"/>
      <protection hidden="1"/>
    </xf>
    <xf numFmtId="171" fontId="11" fillId="0" borderId="53" xfId="1" applyNumberFormat="1" applyFont="1" applyBorder="1" applyAlignment="1" applyProtection="1">
      <alignment horizontal="right"/>
      <protection hidden="1"/>
    </xf>
    <xf numFmtId="171" fontId="11" fillId="0" borderId="54" xfId="1" applyNumberFormat="1" applyFont="1" applyBorder="1" applyAlignment="1" applyProtection="1">
      <alignment horizontal="right"/>
      <protection hidden="1"/>
    </xf>
    <xf numFmtId="171" fontId="11" fillId="0" borderId="55" xfId="1" applyNumberFormat="1" applyFont="1" applyBorder="1" applyAlignment="1" applyProtection="1">
      <alignment horizontal="right"/>
      <protection hidden="1"/>
    </xf>
    <xf numFmtId="169" fontId="10" fillId="0" borderId="53" xfId="2" applyNumberFormat="1" applyFont="1" applyBorder="1" applyProtection="1">
      <protection hidden="1"/>
    </xf>
    <xf numFmtId="169" fontId="10" fillId="0" borderId="54" xfId="2" applyNumberFormat="1" applyFont="1" applyBorder="1" applyProtection="1">
      <protection hidden="1"/>
    </xf>
    <xf numFmtId="169" fontId="10" fillId="0" borderId="55" xfId="2" applyNumberFormat="1" applyFont="1" applyBorder="1" applyProtection="1">
      <protection hidden="1"/>
    </xf>
    <xf numFmtId="172" fontId="10" fillId="0" borderId="53" xfId="1" applyNumberFormat="1" applyFont="1" applyBorder="1" applyAlignment="1" applyProtection="1">
      <protection hidden="1"/>
    </xf>
    <xf numFmtId="172" fontId="10" fillId="0" borderId="54" xfId="1" applyNumberFormat="1" applyFont="1" applyBorder="1" applyAlignment="1" applyProtection="1">
      <protection hidden="1"/>
    </xf>
    <xf numFmtId="172" fontId="10" fillId="0" borderId="55" xfId="1" applyNumberFormat="1" applyFont="1" applyBorder="1" applyAlignment="1" applyProtection="1">
      <protection hidden="1"/>
    </xf>
    <xf numFmtId="169" fontId="14" fillId="0" borderId="4" xfId="2" applyNumberFormat="1" applyFont="1" applyBorder="1" applyAlignment="1" applyProtection="1">
      <alignment horizontal="right"/>
      <protection hidden="1"/>
    </xf>
    <xf numFmtId="169" fontId="14" fillId="0" borderId="5" xfId="2" applyNumberFormat="1" applyFont="1" applyBorder="1" applyAlignment="1" applyProtection="1">
      <alignment horizontal="right"/>
      <protection hidden="1"/>
    </xf>
    <xf numFmtId="169" fontId="14" fillId="0" borderId="21" xfId="2" applyNumberFormat="1" applyFont="1" applyBorder="1" applyAlignment="1" applyProtection="1">
      <alignment horizontal="right"/>
      <protection hidden="1"/>
    </xf>
    <xf numFmtId="169" fontId="10" fillId="8" borderId="33" xfId="2" applyNumberFormat="1" applyFont="1" applyFill="1" applyBorder="1" applyAlignment="1" applyProtection="1">
      <alignment horizontal="right"/>
      <protection locked="0"/>
    </xf>
    <xf numFmtId="0" fontId="18" fillId="0" borderId="62" xfId="2" applyFont="1" applyBorder="1" applyAlignment="1" applyProtection="1">
      <alignment horizontal="left"/>
      <protection hidden="1"/>
    </xf>
    <xf numFmtId="0" fontId="18" fillId="0" borderId="63" xfId="2" applyFont="1" applyBorder="1" applyAlignment="1" applyProtection="1">
      <alignment horizontal="left"/>
      <protection hidden="1"/>
    </xf>
    <xf numFmtId="0" fontId="18" fillId="0" borderId="64" xfId="2" applyFont="1" applyBorder="1" applyAlignment="1" applyProtection="1">
      <alignment horizontal="left"/>
      <protection hidden="1"/>
    </xf>
    <xf numFmtId="0" fontId="4" fillId="0" borderId="65" xfId="2" applyBorder="1" applyAlignment="1" applyProtection="1">
      <alignment horizontal="center"/>
      <protection hidden="1"/>
    </xf>
    <xf numFmtId="167" fontId="10" fillId="0" borderId="0" xfId="2" applyNumberFormat="1" applyFont="1" applyAlignment="1" applyProtection="1">
      <alignment horizontal="center"/>
      <protection hidden="1"/>
    </xf>
    <xf numFmtId="174" fontId="10" fillId="0" borderId="74" xfId="2" applyNumberFormat="1" applyFont="1" applyBorder="1" applyAlignment="1" applyProtection="1">
      <alignment horizontal="center"/>
      <protection hidden="1"/>
    </xf>
    <xf numFmtId="169" fontId="10" fillId="0" borderId="33" xfId="2" applyNumberFormat="1" applyFont="1" applyBorder="1" applyAlignment="1" applyProtection="1">
      <alignment horizontal="right"/>
      <protection hidden="1"/>
    </xf>
    <xf numFmtId="169" fontId="19" fillId="0" borderId="66" xfId="2" applyNumberFormat="1" applyFont="1" applyBorder="1" applyAlignment="1" applyProtection="1">
      <alignment horizontal="left"/>
      <protection hidden="1"/>
    </xf>
    <xf numFmtId="169" fontId="19" fillId="0" borderId="0" xfId="2" applyNumberFormat="1" applyFont="1" applyAlignment="1" applyProtection="1">
      <alignment horizontal="left"/>
      <protection hidden="1"/>
    </xf>
    <xf numFmtId="0" fontId="19" fillId="0" borderId="0" xfId="2" applyFont="1" applyAlignment="1" applyProtection="1">
      <alignment horizontal="left"/>
      <protection hidden="1"/>
    </xf>
    <xf numFmtId="0" fontId="19" fillId="0" borderId="67" xfId="2" applyFont="1" applyBorder="1" applyAlignment="1" applyProtection="1">
      <alignment horizontal="left"/>
      <protection hidden="1"/>
    </xf>
    <xf numFmtId="173" fontId="10" fillId="8" borderId="31" xfId="2" applyNumberFormat="1" applyFont="1" applyFill="1" applyBorder="1" applyAlignment="1" applyProtection="1">
      <alignment horizontal="right"/>
      <protection locked="0"/>
    </xf>
    <xf numFmtId="0" fontId="20" fillId="0" borderId="0" xfId="2" applyFont="1" applyAlignment="1" applyProtection="1">
      <alignment horizontal="right" vertical="center"/>
      <protection hidden="1"/>
    </xf>
    <xf numFmtId="169" fontId="29" fillId="0" borderId="1" xfId="2" applyNumberFormat="1" applyFont="1" applyBorder="1" applyAlignment="1" applyProtection="1">
      <alignment horizontal="right"/>
      <protection hidden="1"/>
    </xf>
    <xf numFmtId="169" fontId="29" fillId="0" borderId="2" xfId="2" applyNumberFormat="1" applyFont="1" applyBorder="1" applyAlignment="1" applyProtection="1">
      <alignment horizontal="right"/>
      <protection hidden="1"/>
    </xf>
    <xf numFmtId="169" fontId="29" fillId="0" borderId="3" xfId="2" applyNumberFormat="1" applyFont="1" applyBorder="1" applyAlignment="1" applyProtection="1">
      <alignment horizontal="right"/>
      <protection hidden="1"/>
    </xf>
    <xf numFmtId="0" fontId="10" fillId="0" borderId="0" xfId="2" applyFont="1" applyAlignment="1" applyProtection="1">
      <alignment horizontal="right"/>
      <protection hidden="1"/>
    </xf>
    <xf numFmtId="0" fontId="10" fillId="0" borderId="1" xfId="2" applyFont="1" applyBorder="1" applyAlignment="1" applyProtection="1">
      <alignment horizontal="right"/>
      <protection hidden="1"/>
    </xf>
    <xf numFmtId="0" fontId="10" fillId="0" borderId="2" xfId="2" applyFont="1" applyBorder="1" applyAlignment="1" applyProtection="1">
      <alignment horizontal="right"/>
      <protection hidden="1"/>
    </xf>
    <xf numFmtId="0" fontId="10" fillId="0" borderId="3" xfId="2" applyFont="1" applyBorder="1" applyAlignment="1" applyProtection="1">
      <alignment horizontal="right"/>
      <protection hidden="1"/>
    </xf>
    <xf numFmtId="172" fontId="4" fillId="0" borderId="33" xfId="1" applyNumberFormat="1" applyFont="1" applyFill="1" applyBorder="1" applyAlignment="1" applyProtection="1">
      <alignment horizontal="right"/>
      <protection hidden="1"/>
    </xf>
    <xf numFmtId="171" fontId="11" fillId="0" borderId="48" xfId="1" applyNumberFormat="1" applyFont="1" applyBorder="1" applyAlignment="1" applyProtection="1">
      <protection hidden="1"/>
    </xf>
    <xf numFmtId="171" fontId="11" fillId="0" borderId="33" xfId="1" applyNumberFormat="1" applyFont="1" applyBorder="1" applyAlignment="1" applyProtection="1">
      <protection hidden="1"/>
    </xf>
    <xf numFmtId="171" fontId="11" fillId="0" borderId="49" xfId="1" applyNumberFormat="1" applyFont="1" applyBorder="1" applyAlignment="1" applyProtection="1">
      <protection hidden="1"/>
    </xf>
    <xf numFmtId="169" fontId="10" fillId="0" borderId="102" xfId="2" applyNumberFormat="1" applyFont="1" applyBorder="1" applyProtection="1">
      <protection hidden="1"/>
    </xf>
    <xf numFmtId="169" fontId="10" fillId="0" borderId="33" xfId="2" applyNumberFormat="1" applyFont="1" applyBorder="1" applyProtection="1">
      <protection hidden="1"/>
    </xf>
    <xf numFmtId="169" fontId="9" fillId="0" borderId="0" xfId="2" applyNumberFormat="1" applyFont="1" applyAlignment="1" applyProtection="1">
      <alignment horizontal="center"/>
      <protection hidden="1"/>
    </xf>
    <xf numFmtId="169" fontId="9" fillId="0" borderId="76" xfId="2" applyNumberFormat="1" applyFont="1" applyBorder="1" applyAlignment="1" applyProtection="1">
      <alignment horizontal="center"/>
      <protection hidden="1"/>
    </xf>
    <xf numFmtId="0" fontId="19" fillId="0" borderId="66" xfId="2" applyFont="1" applyBorder="1" applyAlignment="1" applyProtection="1">
      <alignment horizontal="left"/>
      <protection hidden="1"/>
    </xf>
    <xf numFmtId="173" fontId="10" fillId="8" borderId="14" xfId="2" applyNumberFormat="1" applyFont="1" applyFill="1" applyBorder="1" applyAlignment="1" applyProtection="1">
      <alignment horizontal="right"/>
      <protection locked="0"/>
    </xf>
    <xf numFmtId="173" fontId="10" fillId="8" borderId="15" xfId="2" applyNumberFormat="1" applyFont="1" applyFill="1" applyBorder="1" applyAlignment="1" applyProtection="1">
      <alignment horizontal="right"/>
      <protection locked="0"/>
    </xf>
    <xf numFmtId="173" fontId="10" fillId="8" borderId="25" xfId="2" applyNumberFormat="1" applyFont="1" applyFill="1" applyBorder="1" applyAlignment="1" applyProtection="1">
      <alignment horizontal="right"/>
      <protection locked="0"/>
    </xf>
    <xf numFmtId="169" fontId="10" fillId="8" borderId="14" xfId="1" applyNumberFormat="1" applyFont="1" applyFill="1" applyBorder="1" applyAlignment="1" applyProtection="1">
      <alignment horizontal="right"/>
      <protection locked="0"/>
    </xf>
    <xf numFmtId="169" fontId="10" fillId="8" borderId="15" xfId="1" applyNumberFormat="1" applyFont="1" applyFill="1" applyBorder="1" applyAlignment="1" applyProtection="1">
      <alignment horizontal="right"/>
      <protection locked="0"/>
    </xf>
    <xf numFmtId="169" fontId="10" fillId="8" borderId="25" xfId="1" applyNumberFormat="1" applyFont="1" applyFill="1" applyBorder="1" applyAlignment="1" applyProtection="1">
      <alignment horizontal="right"/>
      <protection locked="0"/>
    </xf>
    <xf numFmtId="169" fontId="10" fillId="0" borderId="43" xfId="2" applyNumberFormat="1" applyFont="1" applyBorder="1" applyAlignment="1" applyProtection="1">
      <alignment horizontal="right"/>
      <protection hidden="1"/>
    </xf>
    <xf numFmtId="167" fontId="10" fillId="8" borderId="31" xfId="2" applyNumberFormat="1" applyFont="1" applyFill="1" applyBorder="1" applyAlignment="1" applyProtection="1">
      <alignment horizontal="right"/>
      <protection locked="0"/>
    </xf>
    <xf numFmtId="169" fontId="10" fillId="8" borderId="31" xfId="1" applyNumberFormat="1" applyFont="1" applyFill="1" applyBorder="1" applyAlignment="1" applyProtection="1">
      <alignment horizontal="right"/>
      <protection locked="0"/>
    </xf>
    <xf numFmtId="169" fontId="10" fillId="8" borderId="0" xfId="1" applyNumberFormat="1" applyFont="1" applyFill="1" applyBorder="1" applyAlignment="1" applyProtection="1">
      <alignment horizontal="right"/>
      <protection locked="0"/>
    </xf>
    <xf numFmtId="169" fontId="11" fillId="0" borderId="48" xfId="2" applyNumberFormat="1" applyFont="1" applyBorder="1" applyAlignment="1" applyProtection="1">
      <alignment horizontal="right"/>
      <protection hidden="1"/>
    </xf>
    <xf numFmtId="169" fontId="11" fillId="0" borderId="33" xfId="2" applyNumberFormat="1" applyFont="1" applyBorder="1" applyAlignment="1" applyProtection="1">
      <alignment horizontal="right"/>
      <protection hidden="1"/>
    </xf>
    <xf numFmtId="169" fontId="11" fillId="0" borderId="49" xfId="2" applyNumberFormat="1" applyFont="1" applyBorder="1" applyAlignment="1" applyProtection="1">
      <alignment horizontal="right"/>
      <protection hidden="1"/>
    </xf>
    <xf numFmtId="171" fontId="11" fillId="0" borderId="48" xfId="1" applyNumberFormat="1" applyFont="1" applyBorder="1" applyAlignment="1" applyProtection="1">
      <alignment horizontal="right"/>
      <protection hidden="1"/>
    </xf>
    <xf numFmtId="171" fontId="11" fillId="0" borderId="33" xfId="1" applyNumberFormat="1" applyFont="1" applyBorder="1" applyAlignment="1" applyProtection="1">
      <alignment horizontal="right"/>
      <protection hidden="1"/>
    </xf>
    <xf numFmtId="171" fontId="11" fillId="0" borderId="49" xfId="1" applyNumberFormat="1" applyFont="1" applyBorder="1" applyAlignment="1" applyProtection="1">
      <alignment horizontal="right"/>
      <protection hidden="1"/>
    </xf>
    <xf numFmtId="169" fontId="10" fillId="0" borderId="48" xfId="2" applyNumberFormat="1" applyFont="1" applyBorder="1" applyAlignment="1" applyProtection="1">
      <alignment horizontal="right"/>
      <protection hidden="1"/>
    </xf>
    <xf numFmtId="169" fontId="10" fillId="0" borderId="49" xfId="2" applyNumberFormat="1" applyFont="1" applyBorder="1" applyAlignment="1" applyProtection="1">
      <alignment horizontal="right"/>
      <protection hidden="1"/>
    </xf>
    <xf numFmtId="169" fontId="11" fillId="0" borderId="48" xfId="2" applyNumberFormat="1" applyFont="1" applyBorder="1" applyProtection="1">
      <protection hidden="1"/>
    </xf>
    <xf numFmtId="169" fontId="11" fillId="0" borderId="33" xfId="2" applyNumberFormat="1" applyFont="1" applyBorder="1" applyProtection="1">
      <protection hidden="1"/>
    </xf>
    <xf numFmtId="169" fontId="11" fillId="0" borderId="49" xfId="2" applyNumberFormat="1" applyFont="1" applyBorder="1" applyProtection="1">
      <protection hidden="1"/>
    </xf>
    <xf numFmtId="0" fontId="19" fillId="0" borderId="69" xfId="2" applyFont="1" applyBorder="1" applyAlignment="1" applyProtection="1">
      <alignment horizontal="left"/>
      <protection hidden="1"/>
    </xf>
    <xf numFmtId="0" fontId="19" fillId="0" borderId="70" xfId="2" applyFont="1" applyBorder="1" applyAlignment="1" applyProtection="1">
      <alignment horizontal="left"/>
      <protection hidden="1"/>
    </xf>
    <xf numFmtId="0" fontId="0" fillId="0" borderId="74" xfId="0" applyBorder="1" applyAlignment="1">
      <alignment horizontal="center"/>
    </xf>
    <xf numFmtId="0" fontId="3" fillId="0" borderId="0" xfId="0" applyFont="1" applyAlignment="1">
      <alignment horizontal="center"/>
    </xf>
    <xf numFmtId="0" fontId="4" fillId="8" borderId="19" xfId="2" applyFill="1" applyBorder="1" applyAlignment="1" applyProtection="1">
      <alignment horizontal="left"/>
      <protection locked="0"/>
    </xf>
    <xf numFmtId="0" fontId="4" fillId="8" borderId="20" xfId="2" applyFill="1" applyBorder="1" applyAlignment="1" applyProtection="1">
      <alignment horizontal="left"/>
      <protection locked="0"/>
    </xf>
    <xf numFmtId="0" fontId="4" fillId="0" borderId="9" xfId="2" applyBorder="1" applyAlignment="1" applyProtection="1">
      <alignment horizontal="left"/>
      <protection hidden="1"/>
    </xf>
    <xf numFmtId="0" fontId="4" fillId="0" borderId="10" xfId="2" applyBorder="1" applyAlignment="1" applyProtection="1">
      <alignment horizontal="left"/>
      <protection hidden="1"/>
    </xf>
    <xf numFmtId="0" fontId="4" fillId="0" borderId="0" xfId="2" applyAlignment="1" applyProtection="1">
      <alignment horizontal="left"/>
      <protection hidden="1"/>
    </xf>
    <xf numFmtId="0" fontId="4" fillId="0" borderId="18" xfId="2" applyBorder="1" applyAlignment="1" applyProtection="1">
      <alignment horizontal="left"/>
      <protection hidden="1"/>
    </xf>
    <xf numFmtId="0" fontId="4" fillId="0" borderId="19" xfId="2" applyBorder="1" applyAlignment="1" applyProtection="1">
      <alignment horizontal="left"/>
      <protection hidden="1"/>
    </xf>
    <xf numFmtId="0" fontId="4" fillId="8" borderId="10" xfId="2" applyFill="1" applyBorder="1" applyAlignment="1" applyProtection="1">
      <alignment horizontal="left"/>
      <protection locked="0"/>
    </xf>
    <xf numFmtId="0" fontId="4" fillId="8" borderId="11" xfId="2" applyFill="1" applyBorder="1" applyAlignment="1" applyProtection="1">
      <alignment horizontal="left"/>
      <protection locked="0"/>
    </xf>
    <xf numFmtId="0" fontId="4" fillId="8" borderId="0" xfId="2" applyFill="1" applyAlignment="1" applyProtection="1">
      <alignment horizontal="left"/>
      <protection locked="0"/>
    </xf>
    <xf numFmtId="0" fontId="4" fillId="8" borderId="13" xfId="2" applyFill="1" applyBorder="1" applyAlignment="1" applyProtection="1">
      <alignment horizontal="left"/>
      <protection locked="0"/>
    </xf>
    <xf numFmtId="0" fontId="5" fillId="0" borderId="0" xfId="2" applyFont="1" applyAlignment="1" applyProtection="1">
      <alignment horizontal="center" vertical="center"/>
      <protection hidden="1"/>
    </xf>
    <xf numFmtId="0" fontId="6" fillId="0" borderId="1" xfId="2" applyFont="1" applyBorder="1" applyAlignment="1" applyProtection="1">
      <alignment horizontal="center"/>
      <protection hidden="1"/>
    </xf>
    <xf numFmtId="0" fontId="6" fillId="0" borderId="2" xfId="2" applyFont="1" applyBorder="1" applyAlignment="1" applyProtection="1">
      <alignment horizontal="center"/>
      <protection hidden="1"/>
    </xf>
    <xf numFmtId="0" fontId="6" fillId="0" borderId="3" xfId="2" applyFont="1" applyBorder="1" applyAlignment="1" applyProtection="1">
      <alignment horizontal="center"/>
      <protection hidden="1"/>
    </xf>
    <xf numFmtId="164" fontId="7" fillId="8" borderId="6" xfId="2" applyNumberFormat="1" applyFont="1" applyFill="1" applyBorder="1" applyAlignment="1" applyProtection="1">
      <alignment horizontal="center"/>
      <protection locked="0"/>
    </xf>
    <xf numFmtId="164" fontId="7" fillId="8" borderId="7" xfId="2" applyNumberFormat="1" applyFont="1" applyFill="1" applyBorder="1" applyAlignment="1" applyProtection="1">
      <alignment horizontal="center"/>
      <protection locked="0"/>
    </xf>
    <xf numFmtId="164" fontId="7" fillId="8" borderId="8" xfId="2" applyNumberFormat="1" applyFont="1" applyFill="1" applyBorder="1" applyAlignment="1" applyProtection="1">
      <alignment horizontal="center"/>
      <protection locked="0"/>
    </xf>
    <xf numFmtId="0" fontId="4" fillId="0" borderId="9" xfId="2" applyBorder="1" applyAlignment="1" applyProtection="1">
      <alignment horizontal="center"/>
      <protection hidden="1"/>
    </xf>
    <xf numFmtId="0" fontId="4" fillId="0" borderId="10" xfId="2" applyBorder="1" applyAlignment="1" applyProtection="1">
      <alignment horizontal="center"/>
      <protection hidden="1"/>
    </xf>
    <xf numFmtId="0" fontId="4" fillId="0" borderId="11" xfId="2" applyBorder="1" applyAlignment="1" applyProtection="1">
      <alignment horizontal="center"/>
      <protection hidden="1"/>
    </xf>
    <xf numFmtId="0" fontId="4" fillId="8" borderId="1" xfId="2" applyFill="1" applyBorder="1" applyAlignment="1" applyProtection="1">
      <alignment horizontal="center"/>
      <protection locked="0"/>
    </xf>
    <xf numFmtId="0" fontId="4" fillId="8" borderId="2" xfId="2" applyFill="1" applyBorder="1" applyAlignment="1" applyProtection="1">
      <alignment horizontal="center"/>
      <protection locked="0"/>
    </xf>
    <xf numFmtId="0" fontId="4" fillId="8" borderId="3" xfId="2" applyFill="1" applyBorder="1" applyAlignment="1" applyProtection="1">
      <alignment horizontal="center"/>
      <protection locked="0"/>
    </xf>
    <xf numFmtId="0" fontId="7" fillId="0" borderId="16" xfId="2" applyFont="1" applyBorder="1" applyAlignment="1" applyProtection="1">
      <alignment horizontal="center"/>
      <protection hidden="1"/>
    </xf>
    <xf numFmtId="0" fontId="7" fillId="0" borderId="15" xfId="2" applyFont="1" applyBorder="1" applyAlignment="1" applyProtection="1">
      <alignment horizontal="center"/>
      <protection hidden="1"/>
    </xf>
    <xf numFmtId="0" fontId="7" fillId="0" borderId="17" xfId="2" applyFont="1" applyBorder="1" applyAlignment="1" applyProtection="1">
      <alignment horizontal="center"/>
      <protection hidden="1"/>
    </xf>
    <xf numFmtId="0" fontId="4" fillId="0" borderId="1" xfId="2" applyBorder="1" applyAlignment="1" applyProtection="1">
      <alignment horizontal="center"/>
      <protection hidden="1"/>
    </xf>
    <xf numFmtId="0" fontId="4" fillId="0" borderId="2" xfId="2" applyBorder="1" applyAlignment="1" applyProtection="1">
      <alignment horizontal="center"/>
      <protection hidden="1"/>
    </xf>
    <xf numFmtId="0" fontId="4" fillId="0" borderId="3" xfId="2" applyBorder="1" applyAlignment="1" applyProtection="1">
      <alignment horizontal="center"/>
      <protection hidden="1"/>
    </xf>
    <xf numFmtId="169" fontId="10" fillId="0" borderId="0" xfId="2" applyNumberFormat="1" applyFont="1" applyAlignment="1" applyProtection="1">
      <alignment horizontal="right"/>
      <protection hidden="1"/>
    </xf>
    <xf numFmtId="169" fontId="10" fillId="0" borderId="0" xfId="2" applyNumberFormat="1" applyFont="1" applyAlignment="1" applyProtection="1">
      <alignment horizontal="right"/>
      <protection locked="0" hidden="1"/>
    </xf>
    <xf numFmtId="169" fontId="10" fillId="0" borderId="74" xfId="2" applyNumberFormat="1" applyFont="1" applyBorder="1" applyAlignment="1" applyProtection="1">
      <alignment horizontal="center"/>
      <protection hidden="1"/>
    </xf>
    <xf numFmtId="172" fontId="10" fillId="9" borderId="74" xfId="1" applyNumberFormat="1" applyFont="1" applyFill="1" applyBorder="1" applyAlignment="1" applyProtection="1">
      <alignment horizontal="center"/>
      <protection locked="0"/>
    </xf>
    <xf numFmtId="169" fontId="4" fillId="9" borderId="80" xfId="1" applyNumberFormat="1" applyFont="1" applyFill="1" applyBorder="1" applyAlignment="1" applyProtection="1">
      <alignment horizontal="right"/>
      <protection locked="0"/>
    </xf>
    <xf numFmtId="169" fontId="4" fillId="9" borderId="81" xfId="1" applyNumberFormat="1" applyFont="1" applyFill="1" applyBorder="1" applyAlignment="1" applyProtection="1">
      <alignment horizontal="right"/>
      <protection locked="0"/>
    </xf>
    <xf numFmtId="169" fontId="4" fillId="9" borderId="82" xfId="1" applyNumberFormat="1" applyFont="1" applyFill="1" applyBorder="1" applyAlignment="1" applyProtection="1">
      <alignment horizontal="right"/>
      <protection locked="0"/>
    </xf>
    <xf numFmtId="0" fontId="10" fillId="9" borderId="9" xfId="2" applyFont="1" applyFill="1" applyBorder="1" applyAlignment="1" applyProtection="1">
      <alignment horizontal="center"/>
      <protection locked="0"/>
    </xf>
    <xf numFmtId="0" fontId="10" fillId="9" borderId="10" xfId="2" applyFont="1" applyFill="1" applyBorder="1" applyAlignment="1" applyProtection="1">
      <alignment horizontal="center"/>
      <protection locked="0"/>
    </xf>
    <xf numFmtId="0" fontId="10" fillId="9" borderId="11" xfId="2" applyFont="1" applyFill="1" applyBorder="1" applyAlignment="1" applyProtection="1">
      <alignment horizontal="center"/>
      <protection locked="0"/>
    </xf>
    <xf numFmtId="0" fontId="32" fillId="0" borderId="0" xfId="2" applyFont="1" applyAlignment="1" applyProtection="1">
      <alignment horizontal="center"/>
      <protection hidden="1"/>
    </xf>
    <xf numFmtId="169" fontId="47" fillId="0" borderId="0" xfId="2" applyNumberFormat="1" applyFont="1" applyAlignment="1" applyProtection="1">
      <alignment horizontal="right"/>
      <protection hidden="1"/>
    </xf>
    <xf numFmtId="0" fontId="4" fillId="9" borderId="80" xfId="2" applyFill="1" applyBorder="1" applyAlignment="1" applyProtection="1">
      <alignment horizontal="left"/>
      <protection locked="0"/>
    </xf>
    <xf numFmtId="0" fontId="4" fillId="9" borderId="81" xfId="2" applyFill="1" applyBorder="1" applyAlignment="1" applyProtection="1">
      <alignment horizontal="left"/>
      <protection locked="0"/>
    </xf>
    <xf numFmtId="0" fontId="4" fillId="9" borderId="82" xfId="2" applyFill="1" applyBorder="1" applyAlignment="1" applyProtection="1">
      <alignment horizontal="left"/>
      <protection locked="0"/>
    </xf>
    <xf numFmtId="0" fontId="9" fillId="8" borderId="71" xfId="2" applyFont="1" applyFill="1" applyBorder="1" applyAlignment="1" applyProtection="1">
      <alignment vertical="top" wrapText="1"/>
      <protection locked="0"/>
    </xf>
    <xf numFmtId="0" fontId="9" fillId="8" borderId="72" xfId="2" applyFont="1" applyFill="1" applyBorder="1" applyAlignment="1" applyProtection="1">
      <alignment vertical="top" wrapText="1"/>
      <protection locked="0"/>
    </xf>
    <xf numFmtId="0" fontId="9" fillId="8" borderId="73" xfId="2" applyFont="1" applyFill="1" applyBorder="1" applyAlignment="1" applyProtection="1">
      <alignment vertical="top" wrapText="1"/>
      <protection locked="0"/>
    </xf>
    <xf numFmtId="0" fontId="9" fillId="8" borderId="77" xfId="2" applyFont="1" applyFill="1" applyBorder="1" applyAlignment="1" applyProtection="1">
      <alignment vertical="top" wrapText="1"/>
      <protection locked="0"/>
    </xf>
    <xf numFmtId="0" fontId="9" fillId="8" borderId="78" xfId="2" applyFont="1" applyFill="1" applyBorder="1" applyAlignment="1" applyProtection="1">
      <alignment vertical="top" wrapText="1"/>
      <protection locked="0"/>
    </xf>
    <xf numFmtId="0" fontId="9" fillId="8" borderId="79" xfId="2" applyFont="1" applyFill="1" applyBorder="1" applyAlignment="1" applyProtection="1">
      <alignment vertical="top" wrapText="1"/>
      <protection locked="0"/>
    </xf>
    <xf numFmtId="0" fontId="4" fillId="0" borderId="0" xfId="2" applyAlignment="1" applyProtection="1">
      <alignment horizontal="center"/>
      <protection hidden="1"/>
    </xf>
    <xf numFmtId="14" fontId="4" fillId="9" borderId="0" xfId="2" applyNumberFormat="1" applyFill="1" applyAlignment="1" applyProtection="1">
      <alignment horizontal="center"/>
      <protection locked="0"/>
    </xf>
    <xf numFmtId="169" fontId="10" fillId="9" borderId="28" xfId="2" applyNumberFormat="1" applyFont="1" applyFill="1" applyBorder="1" applyAlignment="1" applyProtection="1">
      <alignment horizontal="right"/>
      <protection locked="0"/>
    </xf>
    <xf numFmtId="172" fontId="4" fillId="0" borderId="28" xfId="1" applyNumberFormat="1" applyFont="1" applyBorder="1" applyAlignment="1" applyProtection="1">
      <alignment horizontal="right"/>
      <protection hidden="1"/>
    </xf>
    <xf numFmtId="169" fontId="10" fillId="0" borderId="28" xfId="2" applyNumberFormat="1" applyFont="1" applyBorder="1" applyAlignment="1" applyProtection="1">
      <alignment horizontal="right"/>
      <protection hidden="1"/>
    </xf>
    <xf numFmtId="169" fontId="9" fillId="0" borderId="78" xfId="2" applyNumberFormat="1" applyFont="1" applyBorder="1" applyAlignment="1" applyProtection="1">
      <alignment horizontal="center"/>
      <protection hidden="1"/>
    </xf>
    <xf numFmtId="169" fontId="9" fillId="0" borderId="79" xfId="2" applyNumberFormat="1" applyFont="1" applyBorder="1" applyAlignment="1" applyProtection="1">
      <alignment horizontal="center"/>
      <protection hidden="1"/>
    </xf>
    <xf numFmtId="167" fontId="10" fillId="0" borderId="74" xfId="2" applyNumberFormat="1" applyFont="1" applyBorder="1" applyAlignment="1" applyProtection="1">
      <alignment horizontal="center"/>
      <protection hidden="1"/>
    </xf>
    <xf numFmtId="0" fontId="4" fillId="0" borderId="105" xfId="2" applyBorder="1" applyAlignment="1" applyProtection="1">
      <alignment horizontal="left"/>
      <protection hidden="1"/>
    </xf>
    <xf numFmtId="0" fontId="4" fillId="8" borderId="12" xfId="2" applyFill="1" applyBorder="1" applyAlignment="1" applyProtection="1">
      <alignment horizontal="left"/>
      <protection locked="0"/>
    </xf>
    <xf numFmtId="0" fontId="4" fillId="8" borderId="105" xfId="2" applyFill="1" applyBorder="1" applyAlignment="1" applyProtection="1">
      <alignment horizontal="left"/>
      <protection locked="0"/>
    </xf>
    <xf numFmtId="0" fontId="7" fillId="0" borderId="18" xfId="2" applyFont="1" applyBorder="1" applyAlignment="1" applyProtection="1">
      <alignment horizontal="left"/>
      <protection hidden="1"/>
    </xf>
    <xf numFmtId="0" fontId="7" fillId="0" borderId="19" xfId="2" applyFont="1" applyBorder="1" applyAlignment="1" applyProtection="1">
      <alignment horizontal="left"/>
      <protection hidden="1"/>
    </xf>
    <xf numFmtId="0" fontId="7" fillId="0" borderId="20" xfId="2" applyFont="1" applyBorder="1" applyAlignment="1" applyProtection="1">
      <alignment horizontal="left"/>
      <protection hidden="1"/>
    </xf>
    <xf numFmtId="0" fontId="10" fillId="0" borderId="12" xfId="2" applyFont="1" applyBorder="1" applyAlignment="1" applyProtection="1">
      <alignment horizontal="center"/>
      <protection hidden="1"/>
    </xf>
    <xf numFmtId="0" fontId="10" fillId="0" borderId="0" xfId="2" applyFont="1" applyAlignment="1" applyProtection="1">
      <alignment horizontal="center"/>
      <protection hidden="1"/>
    </xf>
    <xf numFmtId="0" fontId="10" fillId="0" borderId="13" xfId="2" applyFont="1" applyBorder="1" applyAlignment="1" applyProtection="1">
      <alignment horizontal="center"/>
      <protection hidden="1"/>
    </xf>
    <xf numFmtId="0" fontId="10" fillId="8" borderId="0" xfId="2" applyFont="1" applyFill="1" applyAlignment="1" applyProtection="1">
      <alignment horizontal="center"/>
      <protection locked="0"/>
    </xf>
    <xf numFmtId="0" fontId="10" fillId="8" borderId="13" xfId="2" applyFont="1" applyFill="1" applyBorder="1" applyAlignment="1" applyProtection="1">
      <alignment horizontal="center"/>
      <protection locked="0"/>
    </xf>
    <xf numFmtId="0" fontId="4" fillId="9" borderId="0" xfId="2" applyFill="1" applyAlignment="1" applyProtection="1">
      <alignment horizontal="center"/>
      <protection locked="0"/>
    </xf>
    <xf numFmtId="174" fontId="10" fillId="0" borderId="19" xfId="2" applyNumberFormat="1" applyFont="1" applyBorder="1" applyAlignment="1" applyProtection="1">
      <alignment horizontal="center"/>
      <protection hidden="1"/>
    </xf>
    <xf numFmtId="174" fontId="10" fillId="0" borderId="20" xfId="2" applyNumberFormat="1" applyFont="1" applyBorder="1" applyAlignment="1" applyProtection="1">
      <alignment horizontal="center"/>
      <protection hidden="1"/>
    </xf>
    <xf numFmtId="0" fontId="4" fillId="9" borderId="80" xfId="2" quotePrefix="1" applyFill="1" applyBorder="1" applyAlignment="1" applyProtection="1">
      <alignment horizontal="left"/>
      <protection locked="0"/>
    </xf>
    <xf numFmtId="0" fontId="22" fillId="0" borderId="0" xfId="2" applyFont="1" applyAlignment="1" applyProtection="1">
      <alignment horizontal="right" vertical="center"/>
      <protection hidden="1"/>
    </xf>
    <xf numFmtId="0" fontId="22" fillId="0" borderId="103" xfId="2" applyFont="1" applyBorder="1" applyAlignment="1" applyProtection="1">
      <alignment horizontal="right" vertical="center"/>
      <protection hidden="1"/>
    </xf>
    <xf numFmtId="169" fontId="19" fillId="0" borderId="68" xfId="2" applyNumberFormat="1" applyFont="1" applyBorder="1" applyAlignment="1" applyProtection="1">
      <alignment horizontal="left"/>
      <protection hidden="1"/>
    </xf>
    <xf numFmtId="169" fontId="19" fillId="0" borderId="69" xfId="2" applyNumberFormat="1" applyFont="1" applyBorder="1" applyAlignment="1" applyProtection="1">
      <alignment horizontal="left"/>
      <protection hidden="1"/>
    </xf>
    <xf numFmtId="0" fontId="14" fillId="0" borderId="18" xfId="2" applyFont="1" applyBorder="1" applyAlignment="1" applyProtection="1">
      <alignment horizontal="right"/>
      <protection hidden="1"/>
    </xf>
    <xf numFmtId="0" fontId="14" fillId="0" borderId="38" xfId="2" applyFont="1" applyBorder="1" applyAlignment="1" applyProtection="1">
      <alignment horizontal="right"/>
      <protection hidden="1"/>
    </xf>
    <xf numFmtId="169" fontId="14" fillId="0" borderId="54" xfId="2" applyNumberFormat="1" applyFont="1" applyBorder="1" applyProtection="1">
      <protection hidden="1"/>
    </xf>
    <xf numFmtId="169" fontId="14" fillId="0" borderId="55" xfId="2" applyNumberFormat="1" applyFont="1" applyBorder="1" applyProtection="1">
      <protection hidden="1"/>
    </xf>
    <xf numFmtId="0" fontId="14" fillId="0" borderId="57" xfId="2" applyFont="1" applyBorder="1" applyAlignment="1" applyProtection="1">
      <alignment horizontal="right"/>
      <protection hidden="1"/>
    </xf>
    <xf numFmtId="0" fontId="14" fillId="0" borderId="58" xfId="2" applyFont="1" applyBorder="1" applyAlignment="1" applyProtection="1">
      <alignment horizontal="right"/>
      <protection hidden="1"/>
    </xf>
    <xf numFmtId="0" fontId="14" fillId="0" borderId="59" xfId="2" applyFont="1" applyBorder="1" applyAlignment="1" applyProtection="1">
      <alignment horizontal="right"/>
      <protection hidden="1"/>
    </xf>
    <xf numFmtId="169" fontId="14" fillId="0" borderId="60" xfId="2" applyNumberFormat="1" applyFont="1" applyBorder="1" applyProtection="1">
      <protection hidden="1"/>
    </xf>
    <xf numFmtId="169" fontId="14" fillId="0" borderId="58" xfId="2" applyNumberFormat="1" applyFont="1" applyBorder="1" applyProtection="1">
      <protection hidden="1"/>
    </xf>
    <xf numFmtId="169" fontId="14" fillId="0" borderId="61" xfId="2" applyNumberFormat="1" applyFont="1" applyBorder="1" applyProtection="1">
      <protection hidden="1"/>
    </xf>
    <xf numFmtId="0" fontId="14" fillId="0" borderId="39" xfId="2" applyFont="1" applyBorder="1" applyAlignment="1" applyProtection="1">
      <alignment horizontal="right"/>
      <protection hidden="1"/>
    </xf>
    <xf numFmtId="169" fontId="14" fillId="0" borderId="28" xfId="2" applyNumberFormat="1" applyFont="1" applyBorder="1" applyProtection="1">
      <protection hidden="1"/>
    </xf>
    <xf numFmtId="169" fontId="19" fillId="0" borderId="67" xfId="2" applyNumberFormat="1" applyFont="1" applyBorder="1" applyAlignment="1" applyProtection="1">
      <alignment horizontal="left"/>
      <protection hidden="1"/>
    </xf>
    <xf numFmtId="0" fontId="9" fillId="0" borderId="50" xfId="2" applyFont="1" applyBorder="1" applyAlignment="1" applyProtection="1">
      <alignment horizontal="center"/>
      <protection hidden="1"/>
    </xf>
    <xf numFmtId="167" fontId="9" fillId="0" borderId="51" xfId="2" applyNumberFormat="1" applyFont="1" applyBorder="1" applyAlignment="1" applyProtection="1">
      <alignment horizontal="center"/>
      <protection hidden="1"/>
    </xf>
    <xf numFmtId="167" fontId="9" fillId="0" borderId="52" xfId="2" applyNumberFormat="1" applyFont="1" applyBorder="1" applyAlignment="1" applyProtection="1">
      <alignment horizontal="center"/>
      <protection hidden="1"/>
    </xf>
    <xf numFmtId="167" fontId="9" fillId="0" borderId="86" xfId="2" applyNumberFormat="1" applyFont="1" applyBorder="1" applyAlignment="1" applyProtection="1">
      <alignment horizontal="center"/>
      <protection hidden="1"/>
    </xf>
    <xf numFmtId="170" fontId="9" fillId="0" borderId="32" xfId="2" applyNumberFormat="1" applyFont="1" applyBorder="1" applyAlignment="1" applyProtection="1">
      <alignment horizontal="right"/>
      <protection hidden="1"/>
    </xf>
    <xf numFmtId="167" fontId="9" fillId="0" borderId="33" xfId="2" applyNumberFormat="1" applyFont="1" applyBorder="1" applyAlignment="1" applyProtection="1">
      <alignment horizontal="center"/>
      <protection locked="0"/>
    </xf>
    <xf numFmtId="167" fontId="9" fillId="0" borderId="0" xfId="2" applyNumberFormat="1" applyFont="1" applyAlignment="1" applyProtection="1">
      <alignment horizontal="center"/>
      <protection locked="0"/>
    </xf>
    <xf numFmtId="167" fontId="9" fillId="0" borderId="85" xfId="2" applyNumberFormat="1" applyFont="1" applyBorder="1" applyAlignment="1" applyProtection="1">
      <alignment horizontal="center"/>
      <protection locked="0"/>
    </xf>
    <xf numFmtId="0" fontId="16" fillId="0" borderId="48" xfId="2" applyFont="1" applyBorder="1" applyAlignment="1" applyProtection="1">
      <alignment horizontal="left"/>
      <protection hidden="1"/>
    </xf>
    <xf numFmtId="0" fontId="16" fillId="0" borderId="33" xfId="2" applyFont="1" applyBorder="1" applyAlignment="1" applyProtection="1">
      <alignment horizontal="left"/>
      <protection hidden="1"/>
    </xf>
    <xf numFmtId="0" fontId="16" fillId="0" borderId="31" xfId="2" applyFont="1" applyBorder="1" applyAlignment="1" applyProtection="1">
      <alignment horizontal="left"/>
      <protection hidden="1"/>
    </xf>
    <xf numFmtId="0" fontId="15" fillId="0" borderId="48" xfId="2" applyFont="1" applyBorder="1" applyAlignment="1" applyProtection="1">
      <alignment horizontal="left"/>
      <protection hidden="1"/>
    </xf>
    <xf numFmtId="0" fontId="15" fillId="0" borderId="33" xfId="2" applyFont="1" applyBorder="1" applyAlignment="1" applyProtection="1">
      <alignment horizontal="left"/>
      <protection hidden="1"/>
    </xf>
    <xf numFmtId="0" fontId="15" fillId="0" borderId="31" xfId="2" applyFont="1" applyBorder="1" applyAlignment="1" applyProtection="1">
      <alignment horizontal="left"/>
      <protection hidden="1"/>
    </xf>
    <xf numFmtId="0" fontId="15" fillId="0" borderId="46" xfId="2" applyFont="1" applyBorder="1" applyAlignment="1" applyProtection="1">
      <alignment horizontal="left"/>
      <protection hidden="1"/>
    </xf>
    <xf numFmtId="0" fontId="15" fillId="0" borderId="47" xfId="2" applyFont="1" applyBorder="1" applyAlignment="1" applyProtection="1">
      <alignment horizontal="left"/>
      <protection hidden="1"/>
    </xf>
    <xf numFmtId="0" fontId="15" fillId="0" borderId="84" xfId="2" applyFont="1" applyBorder="1" applyAlignment="1" applyProtection="1">
      <alignment horizontal="left"/>
      <protection hidden="1"/>
    </xf>
    <xf numFmtId="169" fontId="11" fillId="0" borderId="46" xfId="2" applyNumberFormat="1" applyFont="1" applyBorder="1" applyAlignment="1" applyProtection="1">
      <alignment horizontal="right"/>
      <protection hidden="1"/>
    </xf>
    <xf numFmtId="169" fontId="11" fillId="0" borderId="47" xfId="2" applyNumberFormat="1" applyFont="1" applyBorder="1" applyAlignment="1" applyProtection="1">
      <alignment horizontal="right"/>
      <protection hidden="1"/>
    </xf>
    <xf numFmtId="169" fontId="11" fillId="0" borderId="101" xfId="2" applyNumberFormat="1" applyFont="1" applyBorder="1" applyAlignment="1" applyProtection="1">
      <alignment horizontal="right"/>
      <protection hidden="1"/>
    </xf>
    <xf numFmtId="171" fontId="11" fillId="0" borderId="46" xfId="1" applyNumberFormat="1" applyFont="1" applyBorder="1" applyAlignment="1" applyProtection="1">
      <alignment horizontal="right"/>
      <protection hidden="1"/>
    </xf>
    <xf numFmtId="171" fontId="11" fillId="0" borderId="47" xfId="1" applyNumberFormat="1" applyFont="1" applyBorder="1" applyAlignment="1" applyProtection="1">
      <alignment horizontal="right"/>
      <protection hidden="1"/>
    </xf>
    <xf numFmtId="171" fontId="11" fillId="0" borderId="101" xfId="1" applyNumberFormat="1" applyFont="1" applyBorder="1" applyAlignment="1" applyProtection="1">
      <alignment horizontal="right"/>
      <protection hidden="1"/>
    </xf>
    <xf numFmtId="169" fontId="10" fillId="0" borderId="46" xfId="2" applyNumberFormat="1" applyFont="1" applyBorder="1" applyAlignment="1" applyProtection="1">
      <alignment horizontal="right"/>
      <protection hidden="1"/>
    </xf>
    <xf numFmtId="169" fontId="10" fillId="0" borderId="47" xfId="2" applyNumberFormat="1" applyFont="1" applyBorder="1" applyAlignment="1" applyProtection="1">
      <alignment horizontal="right"/>
      <protection hidden="1"/>
    </xf>
    <xf numFmtId="169" fontId="10" fillId="0" borderId="101" xfId="2" applyNumberFormat="1" applyFont="1" applyBorder="1" applyAlignment="1" applyProtection="1">
      <alignment horizontal="right"/>
      <protection hidden="1"/>
    </xf>
    <xf numFmtId="169" fontId="11" fillId="0" borderId="46" xfId="2" applyNumberFormat="1" applyFont="1" applyBorder="1" applyProtection="1">
      <protection hidden="1"/>
    </xf>
    <xf numFmtId="169" fontId="11" fillId="0" borderId="47" xfId="2" applyNumberFormat="1" applyFont="1" applyBorder="1" applyProtection="1">
      <protection hidden="1"/>
    </xf>
    <xf numFmtId="169" fontId="11" fillId="0" borderId="101" xfId="2" applyNumberFormat="1" applyFont="1" applyBorder="1" applyProtection="1">
      <protection hidden="1"/>
    </xf>
    <xf numFmtId="171" fontId="11" fillId="0" borderId="46" xfId="1" applyNumberFormat="1" applyFont="1" applyBorder="1" applyAlignment="1" applyProtection="1">
      <protection hidden="1"/>
    </xf>
    <xf numFmtId="171" fontId="11" fillId="0" borderId="47" xfId="1" applyNumberFormat="1" applyFont="1" applyBorder="1" applyAlignment="1" applyProtection="1">
      <protection hidden="1"/>
    </xf>
    <xf numFmtId="171" fontId="11" fillId="0" borderId="101" xfId="1" applyNumberFormat="1" applyFont="1" applyBorder="1" applyAlignment="1" applyProtection="1">
      <protection hidden="1"/>
    </xf>
    <xf numFmtId="0" fontId="14" fillId="0" borderId="43" xfId="2" applyFont="1" applyBorder="1" applyAlignment="1" applyProtection="1">
      <alignment horizontal="center"/>
      <protection hidden="1"/>
    </xf>
    <xf numFmtId="0" fontId="14" fillId="0" borderId="14" xfId="2" applyFont="1" applyBorder="1" applyAlignment="1" applyProtection="1">
      <alignment horizontal="center"/>
      <protection hidden="1"/>
    </xf>
    <xf numFmtId="0" fontId="10" fillId="0" borderId="1" xfId="2" applyFont="1" applyBorder="1" applyAlignment="1" applyProtection="1">
      <alignment horizontal="center"/>
      <protection hidden="1"/>
    </xf>
    <xf numFmtId="0" fontId="10" fillId="0" borderId="2" xfId="2" applyFont="1" applyBorder="1" applyAlignment="1" applyProtection="1">
      <alignment horizontal="center"/>
      <protection hidden="1"/>
    </xf>
    <xf numFmtId="0" fontId="10" fillId="0" borderId="88" xfId="2" applyFont="1" applyBorder="1" applyAlignment="1" applyProtection="1">
      <alignment horizontal="center"/>
      <protection hidden="1"/>
    </xf>
    <xf numFmtId="0" fontId="10" fillId="0" borderId="56" xfId="2" applyFont="1" applyBorder="1" applyAlignment="1" applyProtection="1">
      <alignment horizontal="center"/>
      <protection hidden="1"/>
    </xf>
    <xf numFmtId="0" fontId="10" fillId="0" borderId="3" xfId="2" applyFont="1" applyBorder="1" applyAlignment="1" applyProtection="1">
      <alignment horizontal="center"/>
      <protection hidden="1"/>
    </xf>
    <xf numFmtId="0" fontId="10" fillId="0" borderId="44" xfId="2" applyFont="1" applyBorder="1" applyAlignment="1" applyProtection="1">
      <alignment horizontal="center"/>
      <protection hidden="1"/>
    </xf>
    <xf numFmtId="0" fontId="10" fillId="0" borderId="7" xfId="2" applyFont="1" applyBorder="1" applyAlignment="1" applyProtection="1">
      <alignment horizontal="center"/>
      <protection hidden="1"/>
    </xf>
    <xf numFmtId="0" fontId="10" fillId="0" borderId="45" xfId="2" applyFont="1" applyBorder="1" applyAlignment="1" applyProtection="1">
      <alignment horizontal="center"/>
      <protection hidden="1"/>
    </xf>
    <xf numFmtId="0" fontId="7" fillId="0" borderId="1" xfId="2" applyFont="1" applyBorder="1" applyAlignment="1" applyProtection="1">
      <alignment horizontal="center"/>
      <protection hidden="1"/>
    </xf>
    <xf numFmtId="0" fontId="7" fillId="0" borderId="2" xfId="2" applyFont="1" applyBorder="1" applyAlignment="1" applyProtection="1">
      <alignment horizontal="center"/>
      <protection hidden="1"/>
    </xf>
    <xf numFmtId="0" fontId="7" fillId="0" borderId="3" xfId="2" applyFont="1" applyBorder="1" applyAlignment="1" applyProtection="1">
      <alignment horizontal="center"/>
      <protection hidden="1"/>
    </xf>
    <xf numFmtId="169" fontId="10" fillId="0" borderId="15" xfId="2" applyNumberFormat="1" applyFont="1" applyBorder="1" applyProtection="1">
      <protection hidden="1"/>
    </xf>
    <xf numFmtId="169" fontId="10" fillId="0" borderId="25" xfId="2" applyNumberFormat="1" applyFont="1" applyBorder="1" applyProtection="1">
      <protection hidden="1"/>
    </xf>
    <xf numFmtId="0" fontId="8" fillId="8" borderId="18" xfId="2" applyFont="1" applyFill="1" applyBorder="1" applyAlignment="1" applyProtection="1">
      <alignment horizontal="left"/>
      <protection locked="0"/>
    </xf>
    <xf numFmtId="0" fontId="8" fillId="8" borderId="19" xfId="2" applyFont="1" applyFill="1" applyBorder="1" applyAlignment="1" applyProtection="1">
      <alignment horizontal="left"/>
      <protection locked="0"/>
    </xf>
    <xf numFmtId="0" fontId="8" fillId="8" borderId="20" xfId="2" applyFont="1" applyFill="1" applyBorder="1" applyAlignment="1" applyProtection="1">
      <alignment horizontal="left"/>
      <protection locked="0"/>
    </xf>
    <xf numFmtId="167" fontId="10" fillId="0" borderId="19" xfId="2" applyNumberFormat="1" applyFont="1" applyBorder="1" applyAlignment="1" applyProtection="1">
      <alignment horizontal="right"/>
      <protection hidden="1"/>
    </xf>
    <xf numFmtId="167" fontId="10" fillId="0" borderId="37" xfId="2" applyNumberFormat="1" applyFont="1" applyBorder="1" applyAlignment="1" applyProtection="1">
      <alignment horizontal="right"/>
      <protection hidden="1"/>
    </xf>
    <xf numFmtId="167" fontId="10" fillId="0" borderId="38" xfId="2" applyNumberFormat="1" applyFont="1" applyBorder="1" applyAlignment="1" applyProtection="1">
      <alignment horizontal="right"/>
      <protection hidden="1"/>
    </xf>
    <xf numFmtId="169" fontId="10" fillId="9" borderId="39" xfId="2" applyNumberFormat="1" applyFont="1" applyFill="1" applyBorder="1" applyAlignment="1" applyProtection="1">
      <alignment horizontal="right"/>
      <protection locked="0"/>
    </xf>
    <xf numFmtId="169" fontId="10" fillId="9" borderId="40" xfId="2" applyNumberFormat="1" applyFont="1" applyFill="1" applyBorder="1" applyAlignment="1" applyProtection="1">
      <alignment horizontal="right"/>
      <protection locked="0"/>
    </xf>
    <xf numFmtId="169" fontId="10" fillId="9" borderId="41" xfId="2" applyNumberFormat="1" applyFont="1" applyFill="1" applyBorder="1" applyAlignment="1" applyProtection="1">
      <alignment horizontal="right"/>
      <protection locked="0"/>
    </xf>
    <xf numFmtId="0" fontId="8" fillId="0" borderId="12" xfId="2" applyFont="1" applyBorder="1" applyAlignment="1" applyProtection="1">
      <alignment horizontal="left"/>
      <protection hidden="1"/>
    </xf>
    <xf numFmtId="0" fontId="8" fillId="0" borderId="0" xfId="2" applyFont="1" applyAlignment="1" applyProtection="1">
      <alignment horizontal="left"/>
      <protection hidden="1"/>
    </xf>
    <xf numFmtId="0" fontId="8" fillId="0" borderId="13" xfId="2" applyFont="1" applyBorder="1" applyAlignment="1" applyProtection="1">
      <alignment horizontal="left"/>
      <protection hidden="1"/>
    </xf>
    <xf numFmtId="167" fontId="10" fillId="0" borderId="0" xfId="2" applyNumberFormat="1" applyFont="1" applyAlignment="1" applyProtection="1">
      <alignment horizontal="right"/>
      <protection hidden="1"/>
    </xf>
    <xf numFmtId="167" fontId="10" fillId="0" borderId="30" xfId="2" applyNumberFormat="1" applyFont="1" applyBorder="1" applyAlignment="1" applyProtection="1">
      <alignment horizontal="right"/>
      <protection hidden="1"/>
    </xf>
    <xf numFmtId="167" fontId="10" fillId="0" borderId="31" xfId="2" applyNumberFormat="1" applyFont="1" applyBorder="1" applyAlignment="1" applyProtection="1">
      <alignment horizontal="right"/>
      <protection hidden="1"/>
    </xf>
    <xf numFmtId="169" fontId="10" fillId="9" borderId="31" xfId="2" applyNumberFormat="1" applyFont="1" applyFill="1" applyBorder="1" applyAlignment="1" applyProtection="1">
      <alignment horizontal="right"/>
      <protection locked="0"/>
    </xf>
    <xf numFmtId="169" fontId="10" fillId="9" borderId="0" xfId="2" applyNumberFormat="1" applyFont="1" applyFill="1" applyAlignment="1" applyProtection="1">
      <alignment horizontal="right"/>
      <protection locked="0"/>
    </xf>
    <xf numFmtId="169" fontId="10" fillId="9" borderId="30" xfId="2" applyNumberFormat="1" applyFont="1" applyFill="1" applyBorder="1" applyAlignment="1" applyProtection="1">
      <alignment horizontal="right"/>
      <protection locked="0"/>
    </xf>
    <xf numFmtId="0" fontId="10" fillId="0" borderId="13" xfId="2" applyFont="1" applyBorder="1" applyAlignment="1" applyProtection="1">
      <alignment horizontal="right"/>
      <protection hidden="1"/>
    </xf>
    <xf numFmtId="0" fontId="10" fillId="0" borderId="12" xfId="2" applyFont="1" applyBorder="1" applyAlignment="1" applyProtection="1">
      <alignment horizontal="right"/>
      <protection hidden="1"/>
    </xf>
    <xf numFmtId="169" fontId="10" fillId="9" borderId="12" xfId="2" applyNumberFormat="1" applyFont="1" applyFill="1" applyBorder="1" applyAlignment="1" applyProtection="1">
      <alignment horizontal="right"/>
      <protection locked="0"/>
    </xf>
    <xf numFmtId="169" fontId="10" fillId="9" borderId="13" xfId="2" applyNumberFormat="1" applyFont="1" applyFill="1" applyBorder="1" applyAlignment="1" applyProtection="1">
      <alignment horizontal="right"/>
      <protection locked="0"/>
    </xf>
    <xf numFmtId="0" fontId="6" fillId="0" borderId="1" xfId="2" applyFont="1" applyBorder="1" applyAlignment="1" applyProtection="1">
      <alignment horizontal="right"/>
      <protection hidden="1"/>
    </xf>
    <xf numFmtId="0" fontId="6" fillId="0" borderId="2" xfId="2" applyFont="1" applyBorder="1" applyAlignment="1" applyProtection="1">
      <alignment horizontal="right"/>
      <protection hidden="1"/>
    </xf>
    <xf numFmtId="0" fontId="6" fillId="0" borderId="3" xfId="2" applyFont="1" applyBorder="1" applyAlignment="1" applyProtection="1">
      <alignment horizontal="right"/>
      <protection hidden="1"/>
    </xf>
    <xf numFmtId="169" fontId="14" fillId="0" borderId="42" xfId="2" applyNumberFormat="1" applyFont="1" applyBorder="1" applyAlignment="1" applyProtection="1">
      <alignment horizontal="right"/>
      <protection hidden="1"/>
    </xf>
    <xf numFmtId="0" fontId="13" fillId="0" borderId="34" xfId="2" applyFont="1" applyBorder="1" applyAlignment="1" applyProtection="1">
      <alignment horizontal="center" vertical="center" textRotation="255" shrinkToFit="1"/>
      <protection hidden="1"/>
    </xf>
    <xf numFmtId="0" fontId="13" fillId="0" borderId="36" xfId="2" applyFont="1" applyBorder="1" applyAlignment="1" applyProtection="1">
      <alignment horizontal="center" vertical="center" textRotation="255" shrinkToFit="1"/>
      <protection hidden="1"/>
    </xf>
    <xf numFmtId="0" fontId="13" fillId="0" borderId="35" xfId="2" applyFont="1" applyBorder="1" applyAlignment="1" applyProtection="1">
      <alignment horizontal="center" vertical="center" textRotation="255" shrinkToFit="1"/>
      <protection hidden="1"/>
    </xf>
    <xf numFmtId="0" fontId="8" fillId="8" borderId="9" xfId="2" applyFont="1" applyFill="1" applyBorder="1" applyAlignment="1" applyProtection="1">
      <alignment horizontal="left"/>
      <protection locked="0"/>
    </xf>
    <xf numFmtId="0" fontId="8" fillId="8" borderId="10" xfId="2" applyFont="1" applyFill="1" applyBorder="1" applyAlignment="1" applyProtection="1">
      <alignment horizontal="left"/>
      <protection locked="0"/>
    </xf>
    <xf numFmtId="0" fontId="8" fillId="8" borderId="11" xfId="2" applyFont="1" applyFill="1" applyBorder="1" applyAlignment="1" applyProtection="1">
      <alignment horizontal="left"/>
      <protection locked="0"/>
    </xf>
    <xf numFmtId="0" fontId="12" fillId="0" borderId="34" xfId="2" quotePrefix="1" applyFont="1" applyBorder="1" applyAlignment="1" applyProtection="1">
      <alignment horizontal="center" vertical="center" textRotation="255" shrinkToFit="1"/>
      <protection hidden="1"/>
    </xf>
    <xf numFmtId="0" fontId="12" fillId="0" borderId="35" xfId="2" quotePrefix="1" applyFont="1" applyBorder="1" applyAlignment="1" applyProtection="1">
      <alignment horizontal="center" vertical="center" textRotation="255" shrinkToFit="1"/>
      <protection hidden="1"/>
    </xf>
    <xf numFmtId="0" fontId="8" fillId="8" borderId="12" xfId="2" applyFont="1" applyFill="1" applyBorder="1" applyAlignment="1" applyProtection="1">
      <alignment horizontal="left"/>
      <protection locked="0"/>
    </xf>
    <xf numFmtId="0" fontId="8" fillId="8" borderId="0" xfId="2" applyFont="1" applyFill="1" applyAlignment="1" applyProtection="1">
      <alignment horizontal="left"/>
      <protection locked="0"/>
    </xf>
    <xf numFmtId="0" fontId="8" fillId="8" borderId="13" xfId="2" applyFont="1" applyFill="1" applyBorder="1" applyAlignment="1" applyProtection="1">
      <alignment horizontal="left"/>
      <protection locked="0"/>
    </xf>
    <xf numFmtId="169" fontId="11" fillId="0" borderId="0" xfId="2" applyNumberFormat="1" applyFont="1" applyAlignment="1" applyProtection="1">
      <alignment horizontal="right"/>
      <protection locked="0" hidden="1"/>
    </xf>
    <xf numFmtId="169" fontId="11" fillId="0" borderId="13" xfId="2" applyNumberFormat="1" applyFont="1" applyBorder="1" applyAlignment="1" applyProtection="1">
      <alignment horizontal="right"/>
      <protection locked="0" hidden="1"/>
    </xf>
    <xf numFmtId="9" fontId="10" fillId="0" borderId="12" xfId="2" applyNumberFormat="1" applyFont="1" applyBorder="1" applyAlignment="1" applyProtection="1">
      <alignment horizontal="right"/>
      <protection hidden="1"/>
    </xf>
    <xf numFmtId="9" fontId="10" fillId="0" borderId="0" xfId="2" applyNumberFormat="1" applyFont="1" applyAlignment="1" applyProtection="1">
      <alignment horizontal="right"/>
      <protection hidden="1"/>
    </xf>
    <xf numFmtId="9" fontId="10" fillId="0" borderId="13" xfId="2" applyNumberFormat="1" applyFont="1" applyBorder="1" applyAlignment="1" applyProtection="1">
      <alignment horizontal="right"/>
      <protection hidden="1"/>
    </xf>
    <xf numFmtId="0" fontId="8" fillId="0" borderId="18" xfId="2" applyFont="1" applyBorder="1" applyAlignment="1" applyProtection="1">
      <alignment horizontal="left"/>
      <protection hidden="1"/>
    </xf>
    <xf numFmtId="0" fontId="8" fillId="0" borderId="19" xfId="2" applyFont="1" applyBorder="1" applyAlignment="1" applyProtection="1">
      <alignment horizontal="left"/>
      <protection hidden="1"/>
    </xf>
    <xf numFmtId="0" fontId="8" fillId="0" borderId="20" xfId="2" applyFont="1" applyBorder="1" applyAlignment="1" applyProtection="1">
      <alignment horizontal="left"/>
      <protection hidden="1"/>
    </xf>
    <xf numFmtId="177" fontId="10" fillId="0" borderId="31" xfId="2" applyNumberFormat="1" applyFont="1" applyBorder="1" applyAlignment="1" applyProtection="1">
      <alignment horizontal="right"/>
      <protection hidden="1"/>
    </xf>
    <xf numFmtId="177" fontId="10" fillId="0" borderId="0" xfId="2" applyNumberFormat="1" applyFont="1" applyAlignment="1" applyProtection="1">
      <alignment horizontal="right"/>
      <protection hidden="1"/>
    </xf>
    <xf numFmtId="177" fontId="10" fillId="0" borderId="30" xfId="2" applyNumberFormat="1" applyFont="1" applyBorder="1" applyAlignment="1" applyProtection="1">
      <alignment horizontal="right"/>
      <protection hidden="1"/>
    </xf>
    <xf numFmtId="169" fontId="11" fillId="0" borderId="31" xfId="2" applyNumberFormat="1" applyFont="1" applyBorder="1" applyAlignment="1" applyProtection="1">
      <alignment horizontal="right"/>
      <protection hidden="1"/>
    </xf>
    <xf numFmtId="169" fontId="11" fillId="0" borderId="0" xfId="2" applyNumberFormat="1" applyFont="1" applyAlignment="1" applyProtection="1">
      <alignment horizontal="right"/>
      <protection hidden="1"/>
    </xf>
    <xf numFmtId="169" fontId="11" fillId="0" borderId="30" xfId="2" applyNumberFormat="1" applyFont="1" applyBorder="1" applyAlignment="1" applyProtection="1">
      <alignment horizontal="right"/>
      <protection hidden="1"/>
    </xf>
    <xf numFmtId="0" fontId="8" fillId="0" borderId="9" xfId="2" applyFont="1" applyBorder="1" applyAlignment="1" applyProtection="1">
      <alignment horizontal="left"/>
      <protection hidden="1"/>
    </xf>
    <xf numFmtId="0" fontId="8" fillId="0" borderId="10" xfId="2" applyFont="1" applyBorder="1" applyAlignment="1" applyProtection="1">
      <alignment horizontal="left"/>
      <protection hidden="1"/>
    </xf>
    <xf numFmtId="0" fontId="8" fillId="0" borderId="11" xfId="2" applyFont="1" applyBorder="1" applyAlignment="1" applyProtection="1">
      <alignment horizontal="left"/>
      <protection hidden="1"/>
    </xf>
    <xf numFmtId="9" fontId="4" fillId="8" borderId="4" xfId="1" applyFont="1" applyFill="1" applyBorder="1" applyAlignment="1" applyProtection="1">
      <alignment horizontal="center"/>
      <protection locked="0"/>
    </xf>
    <xf numFmtId="9" fontId="4" fillId="8" borderId="21" xfId="1" applyFont="1" applyFill="1" applyBorder="1" applyAlignment="1" applyProtection="1">
      <alignment horizontal="center"/>
      <protection locked="0"/>
    </xf>
    <xf numFmtId="168" fontId="4" fillId="0" borderId="1" xfId="2" applyNumberFormat="1" applyBorder="1" applyAlignment="1" applyProtection="1">
      <alignment horizontal="center"/>
      <protection hidden="1"/>
    </xf>
    <xf numFmtId="168" fontId="4" fillId="0" borderId="2" xfId="2" applyNumberFormat="1" applyBorder="1" applyAlignment="1" applyProtection="1">
      <alignment horizontal="center"/>
      <protection hidden="1"/>
    </xf>
    <xf numFmtId="168" fontId="4" fillId="0" borderId="3" xfId="2" applyNumberFormat="1" applyBorder="1" applyAlignment="1" applyProtection="1">
      <alignment horizontal="center"/>
      <protection hidden="1"/>
    </xf>
    <xf numFmtId="0" fontId="4" fillId="0" borderId="5" xfId="2" applyBorder="1" applyAlignment="1" applyProtection="1">
      <alignment horizontal="center"/>
      <protection hidden="1"/>
    </xf>
    <xf numFmtId="0" fontId="4" fillId="0" borderId="21" xfId="2" applyBorder="1" applyAlignment="1" applyProtection="1">
      <alignment horizontal="center"/>
      <protection hidden="1"/>
    </xf>
    <xf numFmtId="0" fontId="4" fillId="0" borderId="4" xfId="2" applyBorder="1" applyAlignment="1" applyProtection="1">
      <alignment horizontal="center"/>
      <protection hidden="1"/>
    </xf>
    <xf numFmtId="0" fontId="9" fillId="0" borderId="22" xfId="2" applyFont="1" applyBorder="1" applyAlignment="1" applyProtection="1">
      <alignment horizontal="center" vertical="center"/>
      <protection hidden="1"/>
    </xf>
    <xf numFmtId="0" fontId="9" fillId="0" borderId="23" xfId="2" applyFont="1" applyBorder="1" applyAlignment="1" applyProtection="1">
      <alignment horizontal="center" vertical="center"/>
      <protection hidden="1"/>
    </xf>
    <xf numFmtId="0" fontId="9" fillId="0" borderId="27" xfId="2" applyFont="1" applyBorder="1" applyAlignment="1" applyProtection="1">
      <alignment horizontal="center" vertical="center"/>
      <protection hidden="1"/>
    </xf>
    <xf numFmtId="0" fontId="9" fillId="0" borderId="28" xfId="2" applyFont="1" applyBorder="1" applyAlignment="1" applyProtection="1">
      <alignment horizontal="center" vertical="center"/>
      <protection hidden="1"/>
    </xf>
    <xf numFmtId="0" fontId="9" fillId="9" borderId="23" xfId="2" applyFont="1" applyFill="1" applyBorder="1" applyAlignment="1" applyProtection="1">
      <alignment horizontal="center" vertical="center"/>
      <protection hidden="1"/>
    </xf>
    <xf numFmtId="0" fontId="9" fillId="9" borderId="28" xfId="2" applyFont="1" applyFill="1" applyBorder="1" applyAlignment="1" applyProtection="1">
      <alignment horizontal="center" vertical="center"/>
      <protection hidden="1"/>
    </xf>
    <xf numFmtId="9" fontId="4" fillId="8" borderId="1" xfId="1" applyFont="1" applyFill="1" applyBorder="1" applyAlignment="1" applyProtection="1">
      <alignment horizontal="center"/>
      <protection locked="0"/>
    </xf>
    <xf numFmtId="9" fontId="4" fillId="8" borderId="3" xfId="1" applyFont="1" applyFill="1" applyBorder="1" applyAlignment="1" applyProtection="1">
      <alignment horizontal="center"/>
      <protection locked="0"/>
    </xf>
    <xf numFmtId="0" fontId="3" fillId="0" borderId="0" xfId="0" applyFont="1" applyAlignment="1" applyProtection="1">
      <alignment horizontal="left" vertical="center" wrapText="1"/>
      <protection hidden="1"/>
    </xf>
    <xf numFmtId="0" fontId="10" fillId="0" borderId="34" xfId="2" quotePrefix="1" applyFont="1" applyBorder="1" applyAlignment="1" applyProtection="1">
      <alignment horizontal="center" vertical="center"/>
      <protection hidden="1"/>
    </xf>
    <xf numFmtId="0" fontId="10" fillId="0" borderId="87" xfId="2" applyFont="1" applyBorder="1" applyAlignment="1" applyProtection="1">
      <alignment horizontal="center" vertical="center"/>
      <protection hidden="1"/>
    </xf>
    <xf numFmtId="0" fontId="10" fillId="0" borderId="35" xfId="2" applyFont="1" applyBorder="1" applyAlignment="1" applyProtection="1">
      <alignment horizontal="center" vertical="center"/>
      <protection hidden="1"/>
    </xf>
    <xf numFmtId="0" fontId="4" fillId="0" borderId="2" xfId="2" applyBorder="1" applyProtection="1">
      <protection hidden="1"/>
    </xf>
    <xf numFmtId="0" fontId="4" fillId="0" borderId="88" xfId="2" applyBorder="1" applyProtection="1">
      <protection hidden="1"/>
    </xf>
    <xf numFmtId="0" fontId="4" fillId="8" borderId="19" xfId="2" applyFill="1" applyBorder="1" applyAlignment="1" applyProtection="1">
      <alignment horizontal="center"/>
      <protection locked="0"/>
    </xf>
    <xf numFmtId="0" fontId="4" fillId="8" borderId="37" xfId="2" applyFill="1" applyBorder="1" applyAlignment="1" applyProtection="1">
      <alignment horizontal="center"/>
      <protection locked="0"/>
    </xf>
    <xf numFmtId="0" fontId="29" fillId="0" borderId="74" xfId="2" applyFont="1" applyBorder="1" applyAlignment="1" applyProtection="1">
      <alignment horizontal="center"/>
      <protection hidden="1"/>
    </xf>
    <xf numFmtId="0" fontId="9" fillId="9" borderId="24" xfId="2" applyFont="1" applyFill="1" applyBorder="1" applyAlignment="1" applyProtection="1">
      <alignment horizontal="center" vertical="center"/>
      <protection hidden="1"/>
    </xf>
    <xf numFmtId="0" fontId="9" fillId="9" borderId="29" xfId="2" applyFont="1" applyFill="1" applyBorder="1" applyAlignment="1" applyProtection="1">
      <alignment horizontal="center" vertical="center"/>
      <protection hidden="1"/>
    </xf>
    <xf numFmtId="0" fontId="4" fillId="0" borderId="9" xfId="2" applyBorder="1" applyAlignment="1">
      <alignment horizontal="left"/>
    </xf>
    <xf numFmtId="0" fontId="4" fillId="0" borderId="10" xfId="2" applyBorder="1" applyAlignment="1">
      <alignment horizontal="left"/>
    </xf>
    <xf numFmtId="0" fontId="4" fillId="0" borderId="11" xfId="2" applyBorder="1" applyAlignment="1">
      <alignment horizontal="left"/>
    </xf>
    <xf numFmtId="167" fontId="10" fillId="0" borderId="15" xfId="2" applyNumberFormat="1" applyFont="1" applyBorder="1" applyAlignment="1" applyProtection="1">
      <alignment horizontal="right"/>
      <protection hidden="1"/>
    </xf>
    <xf numFmtId="167" fontId="10" fillId="0" borderId="25" xfId="2" applyNumberFormat="1" applyFont="1" applyBorder="1" applyAlignment="1" applyProtection="1">
      <alignment horizontal="right"/>
      <protection hidden="1"/>
    </xf>
    <xf numFmtId="177" fontId="10" fillId="0" borderId="14" xfId="2" applyNumberFormat="1" applyFont="1" applyBorder="1" applyAlignment="1" applyProtection="1">
      <alignment horizontal="right"/>
      <protection hidden="1"/>
    </xf>
    <xf numFmtId="177" fontId="10" fillId="0" borderId="15" xfId="2" applyNumberFormat="1" applyFont="1" applyBorder="1" applyAlignment="1" applyProtection="1">
      <alignment horizontal="right"/>
      <protection hidden="1"/>
    </xf>
    <xf numFmtId="177" fontId="10" fillId="0" borderId="25" xfId="2" applyNumberFormat="1" applyFont="1" applyBorder="1" applyAlignment="1" applyProtection="1">
      <alignment horizontal="right"/>
      <protection hidden="1"/>
    </xf>
    <xf numFmtId="169" fontId="10" fillId="0" borderId="14" xfId="2" applyNumberFormat="1" applyFont="1" applyBorder="1" applyAlignment="1" applyProtection="1">
      <alignment horizontal="right"/>
      <protection hidden="1"/>
    </xf>
    <xf numFmtId="169" fontId="10" fillId="0" borderId="15" xfId="2" applyNumberFormat="1" applyFont="1" applyBorder="1" applyAlignment="1" applyProtection="1">
      <alignment horizontal="right"/>
      <protection hidden="1"/>
    </xf>
    <xf numFmtId="169" fontId="10" fillId="0" borderId="25" xfId="2" applyNumberFormat="1" applyFont="1" applyBorder="1" applyAlignment="1" applyProtection="1">
      <alignment horizontal="right"/>
      <protection hidden="1"/>
    </xf>
    <xf numFmtId="0" fontId="4" fillId="0" borderId="13" xfId="2" applyBorder="1" applyAlignment="1" applyProtection="1">
      <alignment horizontal="left"/>
      <protection hidden="1"/>
    </xf>
    <xf numFmtId="167" fontId="11" fillId="8" borderId="0" xfId="2" applyNumberFormat="1" applyFont="1" applyFill="1" applyAlignment="1" applyProtection="1">
      <alignment horizontal="right"/>
      <protection locked="0"/>
    </xf>
    <xf numFmtId="167" fontId="11" fillId="8" borderId="30" xfId="2" applyNumberFormat="1" applyFont="1" applyFill="1" applyBorder="1" applyAlignment="1" applyProtection="1">
      <alignment horizontal="right"/>
      <protection locked="0"/>
    </xf>
    <xf numFmtId="177" fontId="10" fillId="0" borderId="12" xfId="2" applyNumberFormat="1" applyFont="1" applyBorder="1" applyAlignment="1" applyProtection="1">
      <alignment horizontal="right"/>
      <protection hidden="1"/>
    </xf>
    <xf numFmtId="169" fontId="10" fillId="0" borderId="31" xfId="2" applyNumberFormat="1" applyFont="1" applyBorder="1" applyAlignment="1" applyProtection="1">
      <alignment horizontal="right"/>
      <protection hidden="1"/>
    </xf>
    <xf numFmtId="169" fontId="10" fillId="0" borderId="30" xfId="2" applyNumberFormat="1" applyFont="1" applyBorder="1" applyAlignment="1" applyProtection="1">
      <alignment horizontal="right"/>
      <protection hidden="1"/>
    </xf>
    <xf numFmtId="167" fontId="11" fillId="0" borderId="0" xfId="2" applyNumberFormat="1" applyFont="1" applyAlignment="1" applyProtection="1">
      <alignment horizontal="right"/>
      <protection hidden="1"/>
    </xf>
    <xf numFmtId="167" fontId="11" fillId="0" borderId="30" xfId="2" applyNumberFormat="1" applyFont="1" applyBorder="1" applyAlignment="1" applyProtection="1">
      <alignment horizontal="right"/>
      <protection hidden="1"/>
    </xf>
    <xf numFmtId="0" fontId="26" fillId="8" borderId="0" xfId="0" applyFont="1" applyFill="1" applyAlignment="1" applyProtection="1">
      <alignment horizontal="center"/>
      <protection locked="0" hidden="1"/>
    </xf>
    <xf numFmtId="166" fontId="7" fillId="0" borderId="1" xfId="2" applyNumberFormat="1" applyFont="1" applyBorder="1" applyAlignment="1" applyProtection="1">
      <alignment horizontal="center"/>
      <protection hidden="1"/>
    </xf>
    <xf numFmtId="166" fontId="7" fillId="0" borderId="2" xfId="2" applyNumberFormat="1" applyFont="1" applyBorder="1" applyAlignment="1" applyProtection="1">
      <alignment horizontal="center"/>
      <protection hidden="1"/>
    </xf>
    <xf numFmtId="166" fontId="7" fillId="0" borderId="3" xfId="2" applyNumberFormat="1" applyFont="1" applyBorder="1" applyAlignment="1" applyProtection="1">
      <alignment horizontal="center"/>
      <protection hidden="1"/>
    </xf>
    <xf numFmtId="0" fontId="4" fillId="0" borderId="0" xfId="2" applyAlignment="1" applyProtection="1">
      <alignment horizontal="center" vertical="center" wrapText="1"/>
      <protection hidden="1"/>
    </xf>
    <xf numFmtId="167" fontId="4" fillId="8" borderId="1" xfId="2" applyNumberFormat="1" applyFill="1" applyBorder="1" applyAlignment="1" applyProtection="1">
      <alignment horizontal="center"/>
      <protection locked="0"/>
    </xf>
    <xf numFmtId="167" fontId="4" fillId="8" borderId="2" xfId="2" applyNumberFormat="1" applyFill="1" applyBorder="1" applyAlignment="1" applyProtection="1">
      <alignment horizontal="center"/>
      <protection locked="0"/>
    </xf>
    <xf numFmtId="167" fontId="4" fillId="8" borderId="3" xfId="2" applyNumberFormat="1" applyFill="1" applyBorder="1" applyAlignment="1" applyProtection="1">
      <alignment horizontal="center"/>
      <protection locked="0"/>
    </xf>
    <xf numFmtId="0" fontId="8" fillId="0" borderId="0" xfId="2" applyFont="1" applyAlignment="1" applyProtection="1">
      <alignment horizontal="right"/>
      <protection hidden="1"/>
    </xf>
    <xf numFmtId="0" fontId="8" fillId="0" borderId="13" xfId="2" applyFont="1" applyBorder="1" applyAlignment="1" applyProtection="1">
      <alignment horizontal="right"/>
      <protection hidden="1"/>
    </xf>
    <xf numFmtId="167" fontId="4" fillId="8" borderId="11" xfId="2" applyNumberFormat="1" applyFill="1" applyBorder="1" applyAlignment="1" applyProtection="1">
      <alignment horizontal="center"/>
      <protection locked="0"/>
    </xf>
    <xf numFmtId="168" fontId="4" fillId="8" borderId="1" xfId="2" applyNumberFormat="1" applyFill="1" applyBorder="1" applyAlignment="1" applyProtection="1">
      <alignment horizontal="center"/>
      <protection locked="0"/>
    </xf>
    <xf numFmtId="168" fontId="4" fillId="8" borderId="2" xfId="2" applyNumberFormat="1" applyFill="1" applyBorder="1" applyAlignment="1" applyProtection="1">
      <alignment horizontal="center"/>
      <protection locked="0"/>
    </xf>
    <xf numFmtId="168" fontId="4" fillId="8" borderId="3" xfId="2" applyNumberFormat="1" applyFill="1" applyBorder="1" applyAlignment="1" applyProtection="1">
      <alignment horizontal="center"/>
      <protection locked="0"/>
    </xf>
    <xf numFmtId="14" fontId="4" fillId="8" borderId="1" xfId="2" applyNumberFormat="1" applyFill="1" applyBorder="1" applyAlignment="1" applyProtection="1">
      <alignment horizontal="center"/>
      <protection locked="0"/>
    </xf>
    <xf numFmtId="14" fontId="4" fillId="8" borderId="2" xfId="2" applyNumberFormat="1" applyFill="1" applyBorder="1" applyAlignment="1" applyProtection="1">
      <alignment horizontal="center"/>
      <protection locked="0"/>
    </xf>
    <xf numFmtId="14" fontId="4" fillId="8" borderId="3" xfId="2" applyNumberFormat="1" applyFill="1" applyBorder="1" applyAlignment="1" applyProtection="1">
      <alignment horizontal="center"/>
      <protection locked="0"/>
    </xf>
    <xf numFmtId="0" fontId="0" fillId="8" borderId="0" xfId="0" applyFill="1" applyAlignment="1" applyProtection="1">
      <alignment horizontal="center"/>
      <protection locked="0"/>
    </xf>
    <xf numFmtId="0" fontId="4" fillId="0" borderId="18" xfId="2" applyBorder="1" applyAlignment="1" applyProtection="1">
      <alignment horizontal="right"/>
      <protection hidden="1"/>
    </xf>
    <xf numFmtId="0" fontId="4" fillId="0" borderId="19" xfId="2" applyBorder="1" applyAlignment="1" applyProtection="1">
      <alignment horizontal="right"/>
      <protection hidden="1"/>
    </xf>
    <xf numFmtId="0" fontId="4" fillId="0" borderId="20" xfId="2" applyBorder="1" applyAlignment="1" applyProtection="1">
      <alignment horizontal="right"/>
      <protection hidden="1"/>
    </xf>
    <xf numFmtId="169" fontId="10" fillId="0" borderId="18" xfId="2" applyNumberFormat="1" applyFont="1" applyBorder="1" applyAlignment="1" applyProtection="1">
      <alignment horizontal="center"/>
      <protection hidden="1"/>
    </xf>
    <xf numFmtId="169" fontId="10" fillId="0" borderId="19" xfId="2" applyNumberFormat="1" applyFont="1" applyBorder="1" applyAlignment="1" applyProtection="1">
      <alignment horizontal="center"/>
      <protection hidden="1"/>
    </xf>
    <xf numFmtId="169" fontId="10" fillId="0" borderId="20" xfId="2" applyNumberFormat="1" applyFont="1" applyBorder="1" applyAlignment="1" applyProtection="1">
      <alignment horizontal="center"/>
      <protection hidden="1"/>
    </xf>
    <xf numFmtId="169" fontId="10" fillId="8" borderId="18" xfId="2" applyNumberFormat="1" applyFont="1" applyFill="1" applyBorder="1" applyAlignment="1" applyProtection="1">
      <alignment horizontal="center"/>
      <protection locked="0"/>
    </xf>
    <xf numFmtId="169" fontId="10" fillId="8" borderId="19" xfId="2" applyNumberFormat="1" applyFont="1" applyFill="1" applyBorder="1" applyAlignment="1" applyProtection="1">
      <alignment horizontal="center"/>
      <protection locked="0"/>
    </xf>
    <xf numFmtId="169" fontId="10" fillId="8" borderId="20" xfId="2" applyNumberFormat="1" applyFont="1" applyFill="1" applyBorder="1" applyAlignment="1" applyProtection="1">
      <alignment horizontal="center"/>
      <protection locked="0"/>
    </xf>
    <xf numFmtId="0" fontId="4" fillId="0" borderId="11" xfId="2" applyBorder="1" applyAlignment="1" applyProtection="1">
      <alignment horizontal="left"/>
      <protection hidden="1"/>
    </xf>
    <xf numFmtId="0" fontId="0" fillId="0" borderId="19" xfId="0" applyBorder="1" applyAlignment="1" applyProtection="1">
      <alignment horizontal="left"/>
      <protection hidden="1"/>
    </xf>
    <xf numFmtId="0" fontId="0" fillId="0" borderId="20" xfId="0" applyBorder="1" applyAlignment="1" applyProtection="1">
      <alignment horizontal="left"/>
      <protection hidden="1"/>
    </xf>
    <xf numFmtId="0" fontId="4" fillId="0" borderId="20" xfId="2" applyBorder="1" applyAlignment="1" applyProtection="1">
      <alignment horizontal="left"/>
      <protection hidden="1"/>
    </xf>
    <xf numFmtId="0" fontId="4" fillId="0" borderId="9" xfId="2" applyBorder="1" applyAlignment="1" applyProtection="1">
      <alignment horizontal="right"/>
      <protection hidden="1"/>
    </xf>
    <xf numFmtId="0" fontId="4" fillId="0" borderId="10" xfId="2" applyBorder="1" applyAlignment="1" applyProtection="1">
      <alignment horizontal="right"/>
      <protection hidden="1"/>
    </xf>
    <xf numFmtId="0" fontId="4" fillId="0" borderId="11" xfId="2" applyBorder="1" applyAlignment="1" applyProtection="1">
      <alignment horizontal="right"/>
      <protection hidden="1"/>
    </xf>
    <xf numFmtId="169" fontId="10" fillId="0" borderId="12" xfId="2" applyNumberFormat="1" applyFont="1" applyBorder="1" applyProtection="1">
      <protection hidden="1"/>
    </xf>
    <xf numFmtId="169" fontId="10" fillId="0" borderId="0" xfId="2" applyNumberFormat="1" applyFont="1" applyProtection="1">
      <protection hidden="1"/>
    </xf>
    <xf numFmtId="169" fontId="10" fillId="0" borderId="13" xfId="2" applyNumberFormat="1" applyFont="1" applyBorder="1" applyProtection="1">
      <protection hidden="1"/>
    </xf>
    <xf numFmtId="169" fontId="10" fillId="8" borderId="9" xfId="2" applyNumberFormat="1" applyFont="1" applyFill="1" applyBorder="1" applyAlignment="1" applyProtection="1">
      <alignment horizontal="center"/>
      <protection locked="0"/>
    </xf>
    <xf numFmtId="169" fontId="10" fillId="8" borderId="10" xfId="2" applyNumberFormat="1" applyFont="1" applyFill="1" applyBorder="1" applyAlignment="1" applyProtection="1">
      <alignment horizontal="center"/>
      <protection locked="0"/>
    </xf>
    <xf numFmtId="169" fontId="10" fillId="8" borderId="11" xfId="2" applyNumberFormat="1" applyFont="1" applyFill="1" applyBorder="1" applyAlignment="1" applyProtection="1">
      <alignment horizontal="center"/>
      <protection locked="0"/>
    </xf>
    <xf numFmtId="0" fontId="4" fillId="0" borderId="12" xfId="2" applyBorder="1" applyAlignment="1" applyProtection="1">
      <alignment horizontal="right"/>
      <protection hidden="1"/>
    </xf>
    <xf numFmtId="0" fontId="4" fillId="0" borderId="13" xfId="2" applyBorder="1" applyAlignment="1" applyProtection="1">
      <alignment horizontal="right"/>
      <protection hidden="1"/>
    </xf>
    <xf numFmtId="169" fontId="10" fillId="0" borderId="12" xfId="2" applyNumberFormat="1" applyFont="1" applyBorder="1" applyAlignment="1" applyProtection="1">
      <alignment horizontal="center"/>
      <protection hidden="1"/>
    </xf>
    <xf numFmtId="169" fontId="10" fillId="0" borderId="0" xfId="2" applyNumberFormat="1" applyFont="1" applyAlignment="1" applyProtection="1">
      <alignment horizontal="center"/>
      <protection hidden="1"/>
    </xf>
    <xf numFmtId="169" fontId="10" fillId="0" borderId="13" xfId="2" applyNumberFormat="1" applyFont="1" applyBorder="1" applyAlignment="1" applyProtection="1">
      <alignment horizontal="center"/>
      <protection hidden="1"/>
    </xf>
    <xf numFmtId="169" fontId="10" fillId="8" borderId="12" xfId="2" applyNumberFormat="1" applyFont="1" applyFill="1" applyBorder="1" applyAlignment="1" applyProtection="1">
      <alignment horizontal="center"/>
      <protection locked="0"/>
    </xf>
    <xf numFmtId="169" fontId="10" fillId="8" borderId="0" xfId="2" applyNumberFormat="1" applyFont="1" applyFill="1" applyAlignment="1" applyProtection="1">
      <alignment horizontal="center"/>
      <protection locked="0"/>
    </xf>
    <xf numFmtId="169" fontId="10" fillId="8" borderId="13" xfId="2" applyNumberFormat="1" applyFont="1" applyFill="1" applyBorder="1" applyAlignment="1" applyProtection="1">
      <alignment horizontal="center"/>
      <protection locked="0"/>
    </xf>
    <xf numFmtId="0" fontId="7" fillId="0" borderId="0" xfId="0" applyFont="1" applyAlignment="1" applyProtection="1">
      <alignment horizontal="center"/>
      <protection hidden="1"/>
    </xf>
    <xf numFmtId="180" fontId="30" fillId="0" borderId="89" xfId="0" applyNumberFormat="1" applyFont="1" applyBorder="1" applyAlignment="1" applyProtection="1">
      <alignment horizontal="center" vertical="center"/>
      <protection hidden="1"/>
    </xf>
    <xf numFmtId="180" fontId="30" fillId="0" borderId="91" xfId="0" applyNumberFormat="1" applyFont="1" applyBorder="1" applyAlignment="1" applyProtection="1">
      <alignment horizontal="center" vertical="center"/>
      <protection hidden="1"/>
    </xf>
    <xf numFmtId="0" fontId="30" fillId="0" borderId="90" xfId="0" applyFont="1" applyBorder="1" applyAlignment="1" applyProtection="1">
      <alignment horizontal="center" vertical="center" wrapText="1"/>
      <protection hidden="1"/>
    </xf>
    <xf numFmtId="0" fontId="30" fillId="0" borderId="92" xfId="0" applyFont="1" applyBorder="1" applyAlignment="1" applyProtection="1">
      <alignment horizontal="center" vertical="center" wrapText="1"/>
      <protection hidden="1"/>
    </xf>
    <xf numFmtId="174" fontId="10" fillId="9" borderId="1" xfId="2" applyNumberFormat="1" applyFont="1" applyFill="1" applyBorder="1" applyAlignment="1" applyProtection="1">
      <alignment horizontal="center"/>
      <protection hidden="1"/>
    </xf>
    <xf numFmtId="174" fontId="10" fillId="9" borderId="2" xfId="2" applyNumberFormat="1" applyFont="1" applyFill="1" applyBorder="1" applyAlignment="1" applyProtection="1">
      <alignment horizontal="center"/>
      <protection hidden="1"/>
    </xf>
    <xf numFmtId="174" fontId="10" fillId="9" borderId="3" xfId="2" applyNumberFormat="1" applyFont="1" applyFill="1" applyBorder="1" applyAlignment="1" applyProtection="1">
      <alignment horizontal="center"/>
      <protection hidden="1"/>
    </xf>
    <xf numFmtId="0" fontId="4" fillId="8" borderId="12" xfId="2" applyFill="1" applyBorder="1" applyAlignment="1" applyProtection="1">
      <alignment horizontal="left"/>
      <protection hidden="1"/>
    </xf>
    <xf numFmtId="0" fontId="4" fillId="8" borderId="0" xfId="2" applyFill="1" applyAlignment="1" applyProtection="1">
      <alignment horizontal="left"/>
      <protection hidden="1"/>
    </xf>
    <xf numFmtId="0" fontId="4" fillId="8" borderId="105" xfId="2" applyFill="1" applyBorder="1" applyAlignment="1" applyProtection="1">
      <alignment horizontal="left"/>
      <protection hidden="1"/>
    </xf>
    <xf numFmtId="174" fontId="10" fillId="9" borderId="18" xfId="2" applyNumberFormat="1" applyFont="1" applyFill="1" applyBorder="1" applyAlignment="1" applyProtection="1">
      <alignment horizontal="center"/>
      <protection hidden="1"/>
    </xf>
    <xf numFmtId="174" fontId="10" fillId="9" borderId="19" xfId="2" applyNumberFormat="1" applyFont="1" applyFill="1" applyBorder="1" applyAlignment="1" applyProtection="1">
      <alignment horizontal="center"/>
      <protection hidden="1"/>
    </xf>
    <xf numFmtId="174" fontId="10" fillId="9" borderId="20" xfId="2" applyNumberFormat="1" applyFont="1" applyFill="1" applyBorder="1" applyAlignment="1" applyProtection="1">
      <alignment horizontal="center"/>
      <protection hidden="1"/>
    </xf>
    <xf numFmtId="174" fontId="10" fillId="9" borderId="12" xfId="2" applyNumberFormat="1" applyFont="1" applyFill="1" applyBorder="1" applyAlignment="1" applyProtection="1">
      <alignment horizontal="center"/>
      <protection hidden="1"/>
    </xf>
    <xf numFmtId="174" fontId="10" fillId="9" borderId="0" xfId="2" applyNumberFormat="1" applyFont="1" applyFill="1" applyAlignment="1" applyProtection="1">
      <alignment horizontal="center"/>
      <protection hidden="1"/>
    </xf>
    <xf numFmtId="174" fontId="10" fillId="9" borderId="105" xfId="2" applyNumberFormat="1" applyFont="1" applyFill="1" applyBorder="1" applyAlignment="1" applyProtection="1">
      <alignment horizontal="center"/>
      <protection hidden="1"/>
    </xf>
    <xf numFmtId="14" fontId="4" fillId="9" borderId="0" xfId="2" applyNumberFormat="1" applyFill="1" applyAlignment="1" applyProtection="1">
      <alignment horizontal="center"/>
      <protection hidden="1"/>
    </xf>
    <xf numFmtId="0" fontId="10" fillId="8" borderId="0" xfId="2" applyFont="1" applyFill="1" applyAlignment="1" applyProtection="1">
      <alignment horizontal="center"/>
      <protection hidden="1"/>
    </xf>
    <xf numFmtId="0" fontId="10" fillId="8" borderId="13" xfId="2" applyFont="1" applyFill="1" applyBorder="1" applyAlignment="1" applyProtection="1">
      <alignment horizontal="center"/>
      <protection hidden="1"/>
    </xf>
    <xf numFmtId="0" fontId="4" fillId="9" borderId="0" xfId="2" applyFill="1" applyAlignment="1" applyProtection="1">
      <alignment horizontal="center"/>
      <protection hidden="1"/>
    </xf>
    <xf numFmtId="0" fontId="4" fillId="9" borderId="80" xfId="2" quotePrefix="1" applyFill="1" applyBorder="1" applyAlignment="1" applyProtection="1">
      <alignment horizontal="left"/>
      <protection hidden="1"/>
    </xf>
    <xf numFmtId="0" fontId="4" fillId="9" borderId="81" xfId="2" applyFill="1" applyBorder="1" applyAlignment="1" applyProtection="1">
      <alignment horizontal="left"/>
      <protection hidden="1"/>
    </xf>
    <xf numFmtId="0" fontId="4" fillId="9" borderId="82" xfId="2" applyFill="1" applyBorder="1" applyAlignment="1" applyProtection="1">
      <alignment horizontal="left"/>
      <protection hidden="1"/>
    </xf>
    <xf numFmtId="169" fontId="4" fillId="9" borderId="80" xfId="1" applyNumberFormat="1" applyFont="1" applyFill="1" applyBorder="1" applyAlignment="1" applyProtection="1">
      <alignment horizontal="right"/>
      <protection hidden="1"/>
    </xf>
    <xf numFmtId="169" fontId="4" fillId="9" borderId="81" xfId="1" applyNumberFormat="1" applyFont="1" applyFill="1" applyBorder="1" applyAlignment="1" applyProtection="1">
      <alignment horizontal="right"/>
      <protection hidden="1"/>
    </xf>
    <xf numFmtId="169" fontId="4" fillId="9" borderId="82" xfId="1" applyNumberFormat="1" applyFont="1" applyFill="1" applyBorder="1" applyAlignment="1" applyProtection="1">
      <alignment horizontal="right"/>
      <protection hidden="1"/>
    </xf>
    <xf numFmtId="0" fontId="10" fillId="9" borderId="9" xfId="2" applyFont="1" applyFill="1" applyBorder="1" applyAlignment="1" applyProtection="1">
      <alignment horizontal="center"/>
      <protection hidden="1"/>
    </xf>
    <xf numFmtId="0" fontId="10" fillId="9" borderId="10" xfId="2" applyFont="1" applyFill="1" applyBorder="1" applyAlignment="1" applyProtection="1">
      <alignment horizontal="center"/>
      <protection hidden="1"/>
    </xf>
    <xf numFmtId="0" fontId="10" fillId="9" borderId="11" xfId="2" applyFont="1" applyFill="1" applyBorder="1" applyAlignment="1" applyProtection="1">
      <alignment horizontal="center"/>
      <protection hidden="1"/>
    </xf>
    <xf numFmtId="0" fontId="4" fillId="9" borderId="80" xfId="2" applyFill="1" applyBorder="1" applyAlignment="1" applyProtection="1">
      <alignment horizontal="left"/>
      <protection hidden="1"/>
    </xf>
    <xf numFmtId="0" fontId="9" fillId="8" borderId="71" xfId="2" applyFont="1" applyFill="1" applyBorder="1" applyAlignment="1" applyProtection="1">
      <alignment vertical="top" wrapText="1"/>
      <protection hidden="1"/>
    </xf>
    <xf numFmtId="0" fontId="9" fillId="8" borderId="72" xfId="2" applyFont="1" applyFill="1" applyBorder="1" applyAlignment="1" applyProtection="1">
      <alignment vertical="top" wrapText="1"/>
      <protection hidden="1"/>
    </xf>
    <xf numFmtId="0" fontId="9" fillId="8" borderId="73" xfId="2" applyFont="1" applyFill="1" applyBorder="1" applyAlignment="1" applyProtection="1">
      <alignment vertical="top" wrapText="1"/>
      <protection hidden="1"/>
    </xf>
    <xf numFmtId="0" fontId="9" fillId="8" borderId="77" xfId="2" applyFont="1" applyFill="1" applyBorder="1" applyAlignment="1" applyProtection="1">
      <alignment vertical="top" wrapText="1"/>
      <protection hidden="1"/>
    </xf>
    <xf numFmtId="0" fontId="9" fillId="8" borderId="78" xfId="2" applyFont="1" applyFill="1" applyBorder="1" applyAlignment="1" applyProtection="1">
      <alignment vertical="top" wrapText="1"/>
      <protection hidden="1"/>
    </xf>
    <xf numFmtId="0" fontId="9" fillId="8" borderId="79" xfId="2" applyFont="1" applyFill="1" applyBorder="1" applyAlignment="1" applyProtection="1">
      <alignment vertical="top" wrapText="1"/>
      <protection hidden="1"/>
    </xf>
    <xf numFmtId="169" fontId="10" fillId="8" borderId="12" xfId="2" applyNumberFormat="1" applyFont="1" applyFill="1" applyBorder="1" applyAlignment="1" applyProtection="1">
      <alignment horizontal="center"/>
      <protection hidden="1"/>
    </xf>
    <xf numFmtId="169" fontId="10" fillId="8" borderId="0" xfId="2" applyNumberFormat="1" applyFont="1" applyFill="1" applyAlignment="1" applyProtection="1">
      <alignment horizontal="center"/>
      <protection hidden="1"/>
    </xf>
    <xf numFmtId="169" fontId="10" fillId="8" borderId="13" xfId="2" applyNumberFormat="1" applyFont="1" applyFill="1" applyBorder="1" applyAlignment="1" applyProtection="1">
      <alignment horizontal="center"/>
      <protection hidden="1"/>
    </xf>
    <xf numFmtId="169" fontId="10" fillId="8" borderId="18" xfId="2" applyNumberFormat="1" applyFont="1" applyFill="1" applyBorder="1" applyAlignment="1" applyProtection="1">
      <alignment horizontal="center"/>
      <protection hidden="1"/>
    </xf>
    <xf numFmtId="169" fontId="10" fillId="8" borderId="19" xfId="2" applyNumberFormat="1" applyFont="1" applyFill="1" applyBorder="1" applyAlignment="1" applyProtection="1">
      <alignment horizontal="center"/>
      <protection hidden="1"/>
    </xf>
    <xf numFmtId="169" fontId="10" fillId="8" borderId="20" xfId="2" applyNumberFormat="1" applyFont="1" applyFill="1" applyBorder="1" applyAlignment="1" applyProtection="1">
      <alignment horizontal="center"/>
      <protection hidden="1"/>
    </xf>
    <xf numFmtId="172" fontId="10" fillId="9" borderId="74" xfId="1" applyNumberFormat="1" applyFont="1" applyFill="1" applyBorder="1" applyAlignment="1" applyProtection="1">
      <alignment horizontal="center"/>
      <protection hidden="1"/>
    </xf>
    <xf numFmtId="169" fontId="10" fillId="8" borderId="9" xfId="2" applyNumberFormat="1" applyFont="1" applyFill="1" applyBorder="1" applyAlignment="1" applyProtection="1">
      <alignment horizontal="center"/>
      <protection hidden="1"/>
    </xf>
    <xf numFmtId="169" fontId="10" fillId="8" borderId="10" xfId="2" applyNumberFormat="1" applyFont="1" applyFill="1" applyBorder="1" applyAlignment="1" applyProtection="1">
      <alignment horizontal="center"/>
      <protection hidden="1"/>
    </xf>
    <xf numFmtId="169" fontId="10" fillId="8" borderId="11" xfId="2" applyNumberFormat="1" applyFont="1" applyFill="1" applyBorder="1" applyAlignment="1" applyProtection="1">
      <alignment horizontal="center"/>
      <protection hidden="1"/>
    </xf>
    <xf numFmtId="169" fontId="10" fillId="9" borderId="28" xfId="2" applyNumberFormat="1" applyFont="1" applyFill="1" applyBorder="1" applyAlignment="1" applyProtection="1">
      <alignment horizontal="right"/>
      <protection hidden="1"/>
    </xf>
    <xf numFmtId="0" fontId="4" fillId="8" borderId="19" xfId="2" applyFill="1" applyBorder="1" applyAlignment="1" applyProtection="1">
      <alignment horizontal="center"/>
      <protection hidden="1"/>
    </xf>
    <xf numFmtId="0" fontId="4" fillId="8" borderId="37" xfId="2" applyFill="1" applyBorder="1" applyAlignment="1" applyProtection="1">
      <alignment horizontal="center"/>
      <protection hidden="1"/>
    </xf>
    <xf numFmtId="169" fontId="10" fillId="8" borderId="33" xfId="2" applyNumberFormat="1" applyFont="1" applyFill="1" applyBorder="1" applyAlignment="1" applyProtection="1">
      <alignment horizontal="right"/>
      <protection hidden="1"/>
    </xf>
    <xf numFmtId="173" fontId="10" fillId="8" borderId="14" xfId="2" applyNumberFormat="1" applyFont="1" applyFill="1" applyBorder="1" applyAlignment="1" applyProtection="1">
      <alignment horizontal="right"/>
      <protection hidden="1"/>
    </xf>
    <xf numFmtId="173" fontId="10" fillId="8" borderId="15" xfId="2" applyNumberFormat="1" applyFont="1" applyFill="1" applyBorder="1" applyAlignment="1" applyProtection="1">
      <alignment horizontal="right"/>
      <protection hidden="1"/>
    </xf>
    <xf numFmtId="173" fontId="10" fillId="8" borderId="25" xfId="2" applyNumberFormat="1" applyFont="1" applyFill="1" applyBorder="1" applyAlignment="1" applyProtection="1">
      <alignment horizontal="right"/>
      <protection hidden="1"/>
    </xf>
    <xf numFmtId="169" fontId="10" fillId="8" borderId="14" xfId="1" applyNumberFormat="1" applyFont="1" applyFill="1" applyBorder="1" applyAlignment="1" applyProtection="1">
      <alignment horizontal="right"/>
      <protection hidden="1"/>
    </xf>
    <xf numFmtId="169" fontId="10" fillId="8" borderId="15" xfId="1" applyNumberFormat="1" applyFont="1" applyFill="1" applyBorder="1" applyAlignment="1" applyProtection="1">
      <alignment horizontal="right"/>
      <protection hidden="1"/>
    </xf>
    <xf numFmtId="169" fontId="10" fillId="8" borderId="25" xfId="1" applyNumberFormat="1" applyFont="1" applyFill="1" applyBorder="1" applyAlignment="1" applyProtection="1">
      <alignment horizontal="right"/>
      <protection hidden="1"/>
    </xf>
    <xf numFmtId="167" fontId="10" fillId="8" borderId="31" xfId="2" applyNumberFormat="1" applyFont="1" applyFill="1" applyBorder="1" applyAlignment="1" applyProtection="1">
      <alignment horizontal="right"/>
      <protection hidden="1"/>
    </xf>
    <xf numFmtId="169" fontId="10" fillId="8" borderId="31" xfId="1" applyNumberFormat="1" applyFont="1" applyFill="1" applyBorder="1" applyAlignment="1" applyProtection="1">
      <alignment horizontal="right"/>
      <protection hidden="1"/>
    </xf>
    <xf numFmtId="169" fontId="10" fillId="8" borderId="0" xfId="1" applyNumberFormat="1" applyFont="1" applyFill="1" applyBorder="1" applyAlignment="1" applyProtection="1">
      <alignment horizontal="right"/>
      <protection hidden="1"/>
    </xf>
    <xf numFmtId="173" fontId="10" fillId="8" borderId="31" xfId="2" applyNumberFormat="1" applyFont="1" applyFill="1" applyBorder="1" applyAlignment="1" applyProtection="1">
      <alignment horizontal="right"/>
      <protection hidden="1"/>
    </xf>
    <xf numFmtId="167" fontId="9" fillId="0" borderId="33" xfId="2" applyNumberFormat="1" applyFont="1" applyBorder="1" applyAlignment="1" applyProtection="1">
      <alignment horizontal="center"/>
      <protection hidden="1"/>
    </xf>
    <xf numFmtId="167" fontId="9" fillId="0" borderId="0" xfId="2" applyNumberFormat="1" applyFont="1" applyAlignment="1" applyProtection="1">
      <alignment horizontal="center"/>
      <protection hidden="1"/>
    </xf>
    <xf numFmtId="167" fontId="9" fillId="0" borderId="85" xfId="2" applyNumberFormat="1" applyFont="1" applyBorder="1" applyAlignment="1" applyProtection="1">
      <alignment horizontal="center"/>
      <protection hidden="1"/>
    </xf>
    <xf numFmtId="0" fontId="0" fillId="8" borderId="0" xfId="0" applyFill="1" applyAlignment="1" applyProtection="1">
      <alignment horizontal="center"/>
      <protection hidden="1"/>
    </xf>
    <xf numFmtId="0" fontId="8" fillId="8" borderId="18" xfId="2" applyFont="1" applyFill="1" applyBorder="1" applyAlignment="1" applyProtection="1">
      <alignment horizontal="left"/>
      <protection hidden="1"/>
    </xf>
    <xf numFmtId="0" fontId="8" fillId="8" borderId="19" xfId="2" applyFont="1" applyFill="1" applyBorder="1" applyAlignment="1" applyProtection="1">
      <alignment horizontal="left"/>
      <protection hidden="1"/>
    </xf>
    <xf numFmtId="0" fontId="8" fillId="8" borderId="20" xfId="2" applyFont="1" applyFill="1" applyBorder="1" applyAlignment="1" applyProtection="1">
      <alignment horizontal="left"/>
      <protection hidden="1"/>
    </xf>
    <xf numFmtId="169" fontId="10" fillId="9" borderId="39" xfId="2" applyNumberFormat="1" applyFont="1" applyFill="1" applyBorder="1" applyAlignment="1" applyProtection="1">
      <alignment horizontal="right"/>
      <protection hidden="1"/>
    </xf>
    <xf numFmtId="169" fontId="10" fillId="9" borderId="40" xfId="2" applyNumberFormat="1" applyFont="1" applyFill="1" applyBorder="1" applyAlignment="1" applyProtection="1">
      <alignment horizontal="right"/>
      <protection hidden="1"/>
    </xf>
    <xf numFmtId="169" fontId="10" fillId="9" borderId="41" xfId="2" applyNumberFormat="1" applyFont="1" applyFill="1" applyBorder="1" applyAlignment="1" applyProtection="1">
      <alignment horizontal="right"/>
      <protection hidden="1"/>
    </xf>
    <xf numFmtId="169" fontId="10" fillId="9" borderId="31" xfId="2" applyNumberFormat="1" applyFont="1" applyFill="1" applyBorder="1" applyAlignment="1" applyProtection="1">
      <alignment horizontal="right"/>
      <protection hidden="1"/>
    </xf>
    <xf numFmtId="169" fontId="10" fillId="9" borderId="0" xfId="2" applyNumberFormat="1" applyFont="1" applyFill="1" applyAlignment="1" applyProtection="1">
      <alignment horizontal="right"/>
      <protection hidden="1"/>
    </xf>
    <xf numFmtId="169" fontId="10" fillId="9" borderId="30" xfId="2" applyNumberFormat="1" applyFont="1" applyFill="1" applyBorder="1" applyAlignment="1" applyProtection="1">
      <alignment horizontal="right"/>
      <protection hidden="1"/>
    </xf>
    <xf numFmtId="169" fontId="10" fillId="9" borderId="12" xfId="2" applyNumberFormat="1" applyFont="1" applyFill="1" applyBorder="1" applyAlignment="1" applyProtection="1">
      <alignment horizontal="right"/>
      <protection hidden="1"/>
    </xf>
    <xf numFmtId="169" fontId="10" fillId="9" borderId="13" xfId="2" applyNumberFormat="1" applyFont="1" applyFill="1" applyBorder="1" applyAlignment="1" applyProtection="1">
      <alignment horizontal="right"/>
      <protection hidden="1"/>
    </xf>
    <xf numFmtId="0" fontId="8" fillId="8" borderId="9" xfId="2" applyFont="1" applyFill="1" applyBorder="1" applyAlignment="1" applyProtection="1">
      <alignment horizontal="left"/>
      <protection hidden="1"/>
    </xf>
    <xf numFmtId="0" fontId="8" fillId="8" borderId="10" xfId="2" applyFont="1" applyFill="1" applyBorder="1" applyAlignment="1" applyProtection="1">
      <alignment horizontal="left"/>
      <protection hidden="1"/>
    </xf>
    <xf numFmtId="0" fontId="8" fillId="8" borderId="11" xfId="2" applyFont="1" applyFill="1" applyBorder="1" applyAlignment="1" applyProtection="1">
      <alignment horizontal="left"/>
      <protection hidden="1"/>
    </xf>
    <xf numFmtId="0" fontId="8" fillId="8" borderId="12" xfId="2" applyFont="1" applyFill="1" applyBorder="1" applyAlignment="1" applyProtection="1">
      <alignment horizontal="left"/>
      <protection hidden="1"/>
    </xf>
    <xf numFmtId="0" fontId="8" fillId="8" borderId="0" xfId="2" applyFont="1" applyFill="1" applyAlignment="1" applyProtection="1">
      <alignment horizontal="left"/>
      <protection hidden="1"/>
    </xf>
    <xf numFmtId="0" fontId="8" fillId="8" borderId="13" xfId="2" applyFont="1" applyFill="1" applyBorder="1" applyAlignment="1" applyProtection="1">
      <alignment horizontal="left"/>
      <protection hidden="1"/>
    </xf>
    <xf numFmtId="169" fontId="11" fillId="0" borderId="13" xfId="2" applyNumberFormat="1" applyFont="1" applyBorder="1" applyAlignment="1" applyProtection="1">
      <alignment horizontal="right"/>
      <protection hidden="1"/>
    </xf>
    <xf numFmtId="167" fontId="11" fillId="8" borderId="0" xfId="2" applyNumberFormat="1" applyFont="1" applyFill="1" applyAlignment="1" applyProtection="1">
      <alignment horizontal="right"/>
      <protection hidden="1"/>
    </xf>
    <xf numFmtId="167" fontId="11" fillId="8" borderId="30" xfId="2" applyNumberFormat="1" applyFont="1" applyFill="1" applyBorder="1" applyAlignment="1" applyProtection="1">
      <alignment horizontal="right"/>
      <protection hidden="1"/>
    </xf>
    <xf numFmtId="0" fontId="0" fillId="0" borderId="74" xfId="0" applyBorder="1" applyAlignment="1" applyProtection="1">
      <alignment horizontal="center"/>
      <protection hidden="1"/>
    </xf>
    <xf numFmtId="9" fontId="4" fillId="8" borderId="4" xfId="1" applyFont="1" applyFill="1" applyBorder="1" applyAlignment="1" applyProtection="1">
      <alignment horizontal="center"/>
      <protection hidden="1"/>
    </xf>
    <xf numFmtId="9" fontId="4" fillId="8" borderId="21" xfId="1" applyFont="1" applyFill="1" applyBorder="1" applyAlignment="1" applyProtection="1">
      <alignment horizontal="center"/>
      <protection hidden="1"/>
    </xf>
    <xf numFmtId="9" fontId="4" fillId="8" borderId="1" xfId="1" applyFont="1" applyFill="1" applyBorder="1" applyAlignment="1" applyProtection="1">
      <alignment horizontal="center"/>
      <protection hidden="1"/>
    </xf>
    <xf numFmtId="9" fontId="4" fillId="8" borderId="3" xfId="1" applyFont="1" applyFill="1" applyBorder="1" applyAlignment="1" applyProtection="1">
      <alignment horizontal="center"/>
      <protection hidden="1"/>
    </xf>
    <xf numFmtId="167" fontId="4" fillId="8" borderId="1" xfId="2" applyNumberFormat="1" applyFill="1" applyBorder="1" applyAlignment="1" applyProtection="1">
      <alignment horizontal="center"/>
      <protection hidden="1"/>
    </xf>
    <xf numFmtId="167" fontId="4" fillId="8" borderId="2" xfId="2" applyNumberFormat="1" applyFill="1" applyBorder="1" applyAlignment="1" applyProtection="1">
      <alignment horizontal="center"/>
      <protection hidden="1"/>
    </xf>
    <xf numFmtId="167" fontId="4" fillId="8" borderId="3" xfId="2" applyNumberFormat="1" applyFill="1" applyBorder="1" applyAlignment="1" applyProtection="1">
      <alignment horizontal="center"/>
      <protection hidden="1"/>
    </xf>
    <xf numFmtId="167" fontId="4" fillId="8" borderId="11" xfId="2" applyNumberFormat="1" applyFill="1" applyBorder="1" applyAlignment="1" applyProtection="1">
      <alignment horizontal="center"/>
      <protection hidden="1"/>
    </xf>
    <xf numFmtId="168" fontId="4" fillId="8" borderId="1" xfId="2" applyNumberFormat="1" applyFill="1" applyBorder="1" applyAlignment="1" applyProtection="1">
      <alignment horizontal="center"/>
      <protection hidden="1"/>
    </xf>
    <xf numFmtId="168" fontId="4" fillId="8" borderId="2" xfId="2" applyNumberFormat="1" applyFill="1" applyBorder="1" applyAlignment="1" applyProtection="1">
      <alignment horizontal="center"/>
      <protection hidden="1"/>
    </xf>
    <xf numFmtId="168" fontId="4" fillId="8" borderId="3" xfId="2" applyNumberFormat="1" applyFill="1" applyBorder="1" applyAlignment="1" applyProtection="1">
      <alignment horizontal="center"/>
      <protection hidden="1"/>
    </xf>
    <xf numFmtId="0" fontId="4" fillId="8" borderId="13" xfId="2" applyFill="1" applyBorder="1" applyAlignment="1" applyProtection="1">
      <alignment horizontal="left"/>
      <protection hidden="1"/>
    </xf>
    <xf numFmtId="0" fontId="4" fillId="8" borderId="19" xfId="2" applyFill="1" applyBorder="1" applyAlignment="1" applyProtection="1">
      <alignment horizontal="left"/>
      <protection hidden="1"/>
    </xf>
    <xf numFmtId="0" fontId="4" fillId="8" borderId="20" xfId="2" applyFill="1" applyBorder="1" applyAlignment="1" applyProtection="1">
      <alignment horizontal="left"/>
      <protection hidden="1"/>
    </xf>
    <xf numFmtId="0" fontId="4" fillId="8" borderId="10" xfId="2" applyFill="1" applyBorder="1" applyAlignment="1" applyProtection="1">
      <alignment horizontal="left"/>
      <protection hidden="1"/>
    </xf>
    <xf numFmtId="0" fontId="4" fillId="8" borderId="11" xfId="2" applyFill="1" applyBorder="1" applyAlignment="1" applyProtection="1">
      <alignment horizontal="left"/>
      <protection hidden="1"/>
    </xf>
    <xf numFmtId="164" fontId="7" fillId="8" borderId="6" xfId="2" applyNumberFormat="1" applyFont="1" applyFill="1" applyBorder="1" applyAlignment="1" applyProtection="1">
      <alignment horizontal="center"/>
      <protection hidden="1"/>
    </xf>
    <xf numFmtId="164" fontId="7" fillId="8" borderId="7" xfId="2" applyNumberFormat="1" applyFont="1" applyFill="1" applyBorder="1" applyAlignment="1" applyProtection="1">
      <alignment horizontal="center"/>
      <protection hidden="1"/>
    </xf>
    <xf numFmtId="164" fontId="7" fillId="8" borderId="8" xfId="2" applyNumberFormat="1" applyFont="1" applyFill="1" applyBorder="1" applyAlignment="1" applyProtection="1">
      <alignment horizontal="center"/>
      <protection hidden="1"/>
    </xf>
    <xf numFmtId="0" fontId="4" fillId="8" borderId="1" xfId="2" applyFill="1" applyBorder="1" applyAlignment="1" applyProtection="1">
      <alignment horizontal="center"/>
      <protection hidden="1"/>
    </xf>
    <xf numFmtId="0" fontId="4" fillId="8" borderId="2" xfId="2" applyFill="1" applyBorder="1" applyAlignment="1" applyProtection="1">
      <alignment horizontal="center"/>
      <protection hidden="1"/>
    </xf>
    <xf numFmtId="0" fontId="4" fillId="8" borderId="3" xfId="2" applyFill="1" applyBorder="1" applyAlignment="1" applyProtection="1">
      <alignment horizontal="center"/>
      <protection hidden="1"/>
    </xf>
    <xf numFmtId="0" fontId="26" fillId="8" borderId="0" xfId="0" applyFont="1" applyFill="1" applyAlignment="1" applyProtection="1">
      <alignment horizontal="center"/>
      <protection hidden="1"/>
    </xf>
    <xf numFmtId="14" fontId="4" fillId="8" borderId="1" xfId="2" applyNumberFormat="1" applyFill="1" applyBorder="1" applyAlignment="1" applyProtection="1">
      <alignment horizontal="center"/>
      <protection hidden="1"/>
    </xf>
    <xf numFmtId="14" fontId="4" fillId="8" borderId="2" xfId="2" applyNumberFormat="1" applyFill="1" applyBorder="1" applyAlignment="1" applyProtection="1">
      <alignment horizontal="center"/>
      <protection hidden="1"/>
    </xf>
    <xf numFmtId="14" fontId="4" fillId="8" borderId="3" xfId="2" applyNumberFormat="1" applyFill="1" applyBorder="1" applyAlignment="1" applyProtection="1">
      <alignment horizontal="center"/>
      <protection hidden="1"/>
    </xf>
    <xf numFmtId="169" fontId="10" fillId="9" borderId="31" xfId="1" applyNumberFormat="1" applyFont="1" applyFill="1" applyBorder="1" applyAlignment="1" applyProtection="1">
      <alignment horizontal="right"/>
      <protection locked="0"/>
    </xf>
    <xf numFmtId="169" fontId="10" fillId="9" borderId="0" xfId="1" applyNumberFormat="1" applyFont="1" applyFill="1" applyBorder="1" applyAlignment="1" applyProtection="1">
      <alignment horizontal="right"/>
      <protection locked="0"/>
    </xf>
    <xf numFmtId="169" fontId="10" fillId="9" borderId="102" xfId="1" applyNumberFormat="1" applyFont="1" applyFill="1" applyBorder="1" applyAlignment="1" applyProtection="1">
      <alignment horizontal="right"/>
      <protection locked="0"/>
    </xf>
    <xf numFmtId="175" fontId="10" fillId="9" borderId="31" xfId="2" applyNumberFormat="1" applyFont="1" applyFill="1" applyBorder="1" applyAlignment="1" applyProtection="1">
      <alignment horizontal="right"/>
      <protection locked="0"/>
    </xf>
    <xf numFmtId="175" fontId="10" fillId="9" borderId="0" xfId="2" applyNumberFormat="1" applyFont="1" applyFill="1" applyBorder="1" applyAlignment="1" applyProtection="1">
      <alignment horizontal="right"/>
      <protection locked="0"/>
    </xf>
    <xf numFmtId="175" fontId="10" fillId="9" borderId="102" xfId="2" applyNumberFormat="1" applyFont="1" applyFill="1" applyBorder="1" applyAlignment="1" applyProtection="1">
      <alignment horizontal="right"/>
      <protection locked="0"/>
    </xf>
    <xf numFmtId="173" fontId="10" fillId="8" borderId="0" xfId="2" applyNumberFormat="1" applyFont="1" applyFill="1" applyBorder="1" applyAlignment="1" applyProtection="1">
      <alignment horizontal="right"/>
      <protection locked="0"/>
    </xf>
    <xf numFmtId="173" fontId="10" fillId="8" borderId="102" xfId="2" applyNumberFormat="1" applyFont="1" applyFill="1" applyBorder="1" applyAlignment="1" applyProtection="1">
      <alignment horizontal="right"/>
      <protection locked="0"/>
    </xf>
    <xf numFmtId="169" fontId="10" fillId="8" borderId="102" xfId="1" applyNumberFormat="1" applyFont="1" applyFill="1" applyBorder="1" applyAlignment="1" applyProtection="1">
      <alignment horizontal="right"/>
      <protection locked="0"/>
    </xf>
    <xf numFmtId="167" fontId="10" fillId="8" borderId="0" xfId="2" applyNumberFormat="1" applyFont="1" applyFill="1" applyBorder="1" applyAlignment="1" applyProtection="1">
      <alignment horizontal="right"/>
      <protection locked="0"/>
    </xf>
    <xf numFmtId="167" fontId="10" fillId="8" borderId="102" xfId="2" applyNumberFormat="1" applyFont="1" applyFill="1" applyBorder="1" applyAlignment="1" applyProtection="1">
      <alignment horizontal="right"/>
      <protection locked="0"/>
    </xf>
    <xf numFmtId="0" fontId="3" fillId="0" borderId="0" xfId="0" applyFont="1" applyAlignment="1" applyProtection="1">
      <alignment horizontal="center"/>
      <protection hidden="1"/>
    </xf>
    <xf numFmtId="14" fontId="3" fillId="0" borderId="0" xfId="0" applyNumberFormat="1" applyFont="1" applyProtection="1">
      <protection hidden="1"/>
    </xf>
    <xf numFmtId="10" fontId="3" fillId="0" borderId="0" xfId="1" applyNumberFormat="1" applyFont="1" applyBorder="1" applyProtection="1">
      <protection hidden="1"/>
    </xf>
    <xf numFmtId="167" fontId="10" fillId="8" borderId="0" xfId="2" applyNumberFormat="1" applyFont="1" applyFill="1" applyBorder="1" applyAlignment="1" applyProtection="1">
      <alignment horizontal="right"/>
      <protection hidden="1"/>
    </xf>
    <xf numFmtId="167" fontId="10" fillId="8" borderId="102" xfId="2" applyNumberFormat="1" applyFont="1" applyFill="1" applyBorder="1" applyAlignment="1" applyProtection="1">
      <alignment horizontal="right"/>
      <protection hidden="1"/>
    </xf>
    <xf numFmtId="169" fontId="10" fillId="8" borderId="102" xfId="1" applyNumberFormat="1" applyFont="1" applyFill="1" applyBorder="1" applyAlignment="1" applyProtection="1">
      <alignment horizontal="right"/>
      <protection hidden="1"/>
    </xf>
    <xf numFmtId="173" fontId="10" fillId="8" borderId="0" xfId="2" applyNumberFormat="1" applyFont="1" applyFill="1" applyBorder="1" applyAlignment="1" applyProtection="1">
      <alignment horizontal="right"/>
      <protection hidden="1"/>
    </xf>
    <xf numFmtId="173" fontId="10" fillId="8" borderId="102" xfId="2" applyNumberFormat="1" applyFont="1" applyFill="1" applyBorder="1" applyAlignment="1" applyProtection="1">
      <alignment horizontal="right"/>
      <protection hidden="1"/>
    </xf>
    <xf numFmtId="175" fontId="10" fillId="9" borderId="31" xfId="2" applyNumberFormat="1" applyFont="1" applyFill="1" applyBorder="1" applyAlignment="1" applyProtection="1">
      <alignment horizontal="right"/>
      <protection hidden="1"/>
    </xf>
    <xf numFmtId="175" fontId="10" fillId="9" borderId="0" xfId="2" applyNumberFormat="1" applyFont="1" applyFill="1" applyBorder="1" applyAlignment="1" applyProtection="1">
      <alignment horizontal="right"/>
      <protection hidden="1"/>
    </xf>
    <xf numFmtId="175" fontId="10" fillId="9" borderId="102" xfId="2" applyNumberFormat="1" applyFont="1" applyFill="1" applyBorder="1" applyAlignment="1" applyProtection="1">
      <alignment horizontal="right"/>
      <protection hidden="1"/>
    </xf>
    <xf numFmtId="169" fontId="10" fillId="9" borderId="31" xfId="1" applyNumberFormat="1" applyFont="1" applyFill="1" applyBorder="1" applyAlignment="1" applyProtection="1">
      <alignment horizontal="right"/>
      <protection hidden="1"/>
    </xf>
    <xf numFmtId="169" fontId="10" fillId="9" borderId="0" xfId="1" applyNumberFormat="1" applyFont="1" applyFill="1" applyBorder="1" applyAlignment="1" applyProtection="1">
      <alignment horizontal="right"/>
      <protection hidden="1"/>
    </xf>
    <xf numFmtId="169" fontId="10" fillId="9" borderId="102" xfId="1" applyNumberFormat="1" applyFont="1" applyFill="1" applyBorder="1" applyAlignment="1" applyProtection="1">
      <alignment horizontal="right"/>
      <protection hidden="1"/>
    </xf>
  </cellXfs>
  <cellStyles count="4">
    <cellStyle name="Excel Built-in Normal" xfId="2" xr:uid="{00000000-0005-0000-0000-000000000000}"/>
    <cellStyle name="Monétaire" xfId="3" builtinId="4"/>
    <cellStyle name="Normal" xfId="0" builtinId="0"/>
    <cellStyle name="Pourcentage" xfId="1" builtinId="5"/>
  </cellStyles>
  <dxfs count="92">
    <dxf>
      <fill>
        <patternFill>
          <bgColor rgb="FFFF0000"/>
        </patternFill>
      </fill>
    </dxf>
    <dxf>
      <fill>
        <patternFill>
          <bgColor rgb="FFFF0000"/>
        </patternFill>
      </fill>
    </dxf>
    <dxf>
      <font>
        <b val="0"/>
        <condense val="0"/>
        <extend val="0"/>
        <color indexed="42"/>
      </font>
    </dxf>
    <dxf>
      <font>
        <b val="0"/>
        <condense val="0"/>
        <extend val="0"/>
        <color indexed="42"/>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dxf>
    <dxf>
      <font>
        <color theme="0"/>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ill>
        <patternFill>
          <bgColor rgb="FFFF0000"/>
        </patternFill>
      </fill>
    </dxf>
    <dxf>
      <fill>
        <patternFill>
          <bgColor rgb="FFFF0000"/>
        </patternFill>
      </fill>
    </dxf>
    <dxf>
      <font>
        <b val="0"/>
        <condense val="0"/>
        <extend val="0"/>
        <color indexed="42"/>
      </font>
    </dxf>
    <dxf>
      <font>
        <b val="0"/>
        <condense val="0"/>
        <extend val="0"/>
        <color indexed="42"/>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dxf>
    <dxf>
      <font>
        <color theme="0"/>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FFFFF"/>
      </font>
      <fill>
        <patternFill>
          <bgColor theme="0"/>
        </patternFill>
      </fill>
    </dxf>
    <dxf>
      <font>
        <color theme="0"/>
      </font>
    </dxf>
    <dxf>
      <font>
        <color rgb="FFFFFFFF"/>
      </font>
      <fill>
        <patternFill>
          <bgColor theme="0"/>
        </patternFill>
      </fill>
    </dxf>
    <dxf>
      <font>
        <color theme="0"/>
      </font>
    </dxf>
    <dxf>
      <font>
        <color rgb="FFFFFFFF"/>
      </font>
      <fill>
        <patternFill>
          <bgColor theme="0"/>
        </patternFill>
      </fill>
    </dxf>
    <dxf>
      <font>
        <color theme="0"/>
      </font>
      <fill>
        <patternFill patternType="none">
          <bgColor auto="1"/>
        </patternFill>
      </fill>
    </dxf>
    <dxf>
      <fill>
        <patternFill>
          <bgColor theme="9" tint="0.59996337778862885"/>
        </patternFill>
      </fill>
    </dxf>
    <dxf>
      <fill>
        <patternFill>
          <bgColor theme="9" tint="0.59996337778862885"/>
        </patternFill>
      </fill>
    </dxf>
    <dxf>
      <font>
        <color theme="0"/>
      </font>
    </dxf>
    <dxf>
      <font>
        <color theme="0"/>
      </font>
    </dxf>
    <dxf>
      <font>
        <color theme="0"/>
      </font>
      <fill>
        <patternFill patternType="none">
          <bgColor auto="1"/>
        </patternFill>
      </fill>
    </dxf>
    <dxf>
      <font>
        <color theme="0"/>
      </font>
    </dxf>
    <dxf>
      <font>
        <color theme="0"/>
      </font>
    </dxf>
    <dxf>
      <font>
        <color rgb="FFF15C5A"/>
      </font>
      <fill>
        <patternFill patternType="none">
          <bgColor auto="1"/>
        </patternFill>
      </fill>
    </dxf>
    <dxf>
      <fill>
        <patternFill>
          <bgColor rgb="FFFF0000"/>
        </patternFill>
      </fill>
    </dxf>
    <dxf>
      <fill>
        <patternFill>
          <bgColor rgb="FFFF0000"/>
        </patternFill>
      </fill>
    </dxf>
    <dxf>
      <font>
        <b val="0"/>
        <condense val="0"/>
        <extend val="0"/>
        <color indexed="42"/>
      </font>
    </dxf>
    <dxf>
      <font>
        <b val="0"/>
        <condense val="0"/>
        <extend val="0"/>
        <color indexed="42"/>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dxf>
    <dxf>
      <font>
        <color theme="0"/>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s>
  <tableStyles count="0" defaultTableStyle="TableStyleMedium2" defaultPivotStyle="PivotStyleLight16"/>
  <colors>
    <mruColors>
      <color rgb="FFF15C5A"/>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xdr:from>
      <xdr:col>49</xdr:col>
      <xdr:colOff>0</xdr:colOff>
      <xdr:row>2</xdr:row>
      <xdr:rowOff>0</xdr:rowOff>
    </xdr:from>
    <xdr:to>
      <xdr:col>52</xdr:col>
      <xdr:colOff>609600</xdr:colOff>
      <xdr:row>6</xdr:row>
      <xdr:rowOff>167217</xdr:rowOff>
    </xdr:to>
    <xdr:sp macro="" textlink="">
      <xdr:nvSpPr>
        <xdr:cNvPr id="3" name="ZoneTexte 2">
          <a:extLst>
            <a:ext uri="{FF2B5EF4-FFF2-40B4-BE49-F238E27FC236}">
              <a16:creationId xmlns:a16="http://schemas.microsoft.com/office/drawing/2014/main" id="{F5E25A6E-0F95-43EF-8DD7-E83FC6E00755}"/>
            </a:ext>
          </a:extLst>
        </xdr:cNvPr>
        <xdr:cNvSpPr txBox="1"/>
      </xdr:nvSpPr>
      <xdr:spPr>
        <a:xfrm>
          <a:off x="14594417" y="381000"/>
          <a:ext cx="2895600" cy="971550"/>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oneCellAnchor>
    <xdr:from>
      <xdr:col>45</xdr:col>
      <xdr:colOff>21167</xdr:colOff>
      <xdr:row>6</xdr:row>
      <xdr:rowOff>74083</xdr:rowOff>
    </xdr:from>
    <xdr:ext cx="5011821" cy="937629"/>
    <xdr:sp macro="" textlink="">
      <xdr:nvSpPr>
        <xdr:cNvPr id="2" name="Rectangle 1">
          <a:extLst>
            <a:ext uri="{FF2B5EF4-FFF2-40B4-BE49-F238E27FC236}">
              <a16:creationId xmlns:a16="http://schemas.microsoft.com/office/drawing/2014/main" id="{F6170C76-8A55-4455-93E8-433B0BB4E9AA}"/>
            </a:ext>
          </a:extLst>
        </xdr:cNvPr>
        <xdr:cNvSpPr/>
      </xdr:nvSpPr>
      <xdr:spPr>
        <a:xfrm>
          <a:off x="12139084" y="1259416"/>
          <a:ext cx="5011821" cy="937629"/>
        </a:xfrm>
        <a:prstGeom prst="rect">
          <a:avLst/>
        </a:prstGeom>
        <a:noFill/>
      </xdr:spPr>
      <xdr:txBody>
        <a:bodyPr wrap="none" lIns="91440" tIns="45720" rIns="91440" bIns="45720">
          <a:spAutoFit/>
        </a:bodyPr>
        <a:lstStyle/>
        <a:p>
          <a:pPr algn="ctr"/>
          <a:r>
            <a:rPr lang="fr-FR" sz="5400" b="1" cap="none" spc="0">
              <a:ln w="22225">
                <a:solidFill>
                  <a:schemeClr val="accent2"/>
                </a:solidFill>
                <a:prstDash val="solid"/>
              </a:ln>
              <a:solidFill>
                <a:schemeClr val="accent2">
                  <a:lumMod val="40000"/>
                  <a:lumOff val="60000"/>
                </a:schemeClr>
              </a:solidFill>
              <a:effectLst/>
            </a:rPr>
            <a:t>Version</a:t>
          </a:r>
          <a:r>
            <a:rPr lang="fr-FR" sz="5400" b="1" cap="none" spc="0" baseline="0">
              <a:ln w="22225">
                <a:solidFill>
                  <a:schemeClr val="accent2"/>
                </a:solidFill>
                <a:prstDash val="solid"/>
              </a:ln>
              <a:solidFill>
                <a:schemeClr val="accent2">
                  <a:lumMod val="40000"/>
                  <a:lumOff val="60000"/>
                </a:schemeClr>
              </a:solidFill>
              <a:effectLst/>
            </a:rPr>
            <a:t> Mayotte</a:t>
          </a:r>
          <a:endParaRPr lang="fr-FR" sz="5400" b="1" cap="none" spc="0">
            <a:ln w="22225">
              <a:solidFill>
                <a:schemeClr val="accent2"/>
              </a:solidFill>
              <a:prstDash val="solid"/>
            </a:ln>
            <a:solidFill>
              <a:schemeClr val="accent2">
                <a:lumMod val="40000"/>
                <a:lumOff val="60000"/>
              </a:schemeClr>
            </a:solidFill>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2</xdr:row>
      <xdr:rowOff>19050</xdr:rowOff>
    </xdr:from>
    <xdr:to>
      <xdr:col>2</xdr:col>
      <xdr:colOff>178026</xdr:colOff>
      <xdr:row>8</xdr:row>
      <xdr:rowOff>102199</xdr:rowOff>
    </xdr:to>
    <xdr:pic>
      <xdr:nvPicPr>
        <xdr:cNvPr id="6" name="Image 5">
          <a:extLst>
            <a:ext uri="{FF2B5EF4-FFF2-40B4-BE49-F238E27FC236}">
              <a16:creationId xmlns:a16="http://schemas.microsoft.com/office/drawing/2014/main" id="{AAE2C5EC-075F-D926-1E11-923A4BBBA86E}"/>
            </a:ext>
          </a:extLst>
        </xdr:cNvPr>
        <xdr:cNvPicPr>
          <a:picLocks noChangeAspect="1"/>
        </xdr:cNvPicPr>
      </xdr:nvPicPr>
      <xdr:blipFill>
        <a:blip xmlns:r="http://schemas.openxmlformats.org/officeDocument/2006/relationships" r:embed="rId1"/>
        <a:stretch>
          <a:fillRect/>
        </a:stretch>
      </xdr:blipFill>
      <xdr:spPr>
        <a:xfrm>
          <a:off x="504825" y="342900"/>
          <a:ext cx="1140051" cy="1054699"/>
        </a:xfrm>
        <a:prstGeom prst="rect">
          <a:avLst/>
        </a:prstGeom>
      </xdr:spPr>
    </xdr:pic>
    <xdr:clientData/>
  </xdr:twoCellAnchor>
  <xdr:twoCellAnchor>
    <xdr:from>
      <xdr:col>11</xdr:col>
      <xdr:colOff>504825</xdr:colOff>
      <xdr:row>1</xdr:row>
      <xdr:rowOff>142875</xdr:rowOff>
    </xdr:from>
    <xdr:to>
      <xdr:col>15</xdr:col>
      <xdr:colOff>352425</xdr:colOff>
      <xdr:row>7</xdr:row>
      <xdr:rowOff>142875</xdr:rowOff>
    </xdr:to>
    <xdr:sp macro="" textlink="">
      <xdr:nvSpPr>
        <xdr:cNvPr id="2" name="ZoneTexte 1">
          <a:extLst>
            <a:ext uri="{FF2B5EF4-FFF2-40B4-BE49-F238E27FC236}">
              <a16:creationId xmlns:a16="http://schemas.microsoft.com/office/drawing/2014/main" id="{74BDD054-5027-4738-A0DB-F216018696C6}"/>
            </a:ext>
          </a:extLst>
        </xdr:cNvPr>
        <xdr:cNvSpPr txBox="1"/>
      </xdr:nvSpPr>
      <xdr:spPr>
        <a:xfrm>
          <a:off x="12506325" y="304800"/>
          <a:ext cx="2895600" cy="971550"/>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733425</xdr:colOff>
      <xdr:row>0</xdr:row>
      <xdr:rowOff>190500</xdr:rowOff>
    </xdr:from>
    <xdr:to>
      <xdr:col>7</xdr:col>
      <xdr:colOff>485775</xdr:colOff>
      <xdr:row>8</xdr:row>
      <xdr:rowOff>142875</xdr:rowOff>
    </xdr:to>
    <xdr:pic>
      <xdr:nvPicPr>
        <xdr:cNvPr id="2" name="Image 1">
          <a:extLst>
            <a:ext uri="{FF2B5EF4-FFF2-40B4-BE49-F238E27FC236}">
              <a16:creationId xmlns:a16="http://schemas.microsoft.com/office/drawing/2014/main" id="{1933B4D3-84B8-433C-BBC1-01F96CBA3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420100" y="190500"/>
          <a:ext cx="1562100" cy="15621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49</xdr:col>
      <xdr:colOff>0</xdr:colOff>
      <xdr:row>2</xdr:row>
      <xdr:rowOff>0</xdr:rowOff>
    </xdr:from>
    <xdr:to>
      <xdr:col>52</xdr:col>
      <xdr:colOff>609600</xdr:colOff>
      <xdr:row>6</xdr:row>
      <xdr:rowOff>167217</xdr:rowOff>
    </xdr:to>
    <xdr:sp macro="" textlink="">
      <xdr:nvSpPr>
        <xdr:cNvPr id="2" name="ZoneTexte 1">
          <a:extLst>
            <a:ext uri="{FF2B5EF4-FFF2-40B4-BE49-F238E27FC236}">
              <a16:creationId xmlns:a16="http://schemas.microsoft.com/office/drawing/2014/main" id="{2ECC434B-E1DA-4285-9A17-F4447839302E}"/>
            </a:ext>
          </a:extLst>
        </xdr:cNvPr>
        <xdr:cNvSpPr txBox="1"/>
      </xdr:nvSpPr>
      <xdr:spPr>
        <a:xfrm>
          <a:off x="14497050" y="381000"/>
          <a:ext cx="2895600" cy="967317"/>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twoCellAnchor>
    <xdr:from>
      <xdr:col>49</xdr:col>
      <xdr:colOff>0</xdr:colOff>
      <xdr:row>2</xdr:row>
      <xdr:rowOff>0</xdr:rowOff>
    </xdr:from>
    <xdr:to>
      <xdr:col>52</xdr:col>
      <xdr:colOff>609600</xdr:colOff>
      <xdr:row>6</xdr:row>
      <xdr:rowOff>167217</xdr:rowOff>
    </xdr:to>
    <xdr:sp macro="" textlink="">
      <xdr:nvSpPr>
        <xdr:cNvPr id="3" name="ZoneTexte 2">
          <a:extLst>
            <a:ext uri="{FF2B5EF4-FFF2-40B4-BE49-F238E27FC236}">
              <a16:creationId xmlns:a16="http://schemas.microsoft.com/office/drawing/2014/main" id="{AEB7C919-6C4E-4C9F-9A37-CE44D69E98B7}"/>
            </a:ext>
          </a:extLst>
        </xdr:cNvPr>
        <xdr:cNvSpPr txBox="1"/>
      </xdr:nvSpPr>
      <xdr:spPr>
        <a:xfrm>
          <a:off x="14497050" y="381000"/>
          <a:ext cx="2895600" cy="967317"/>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oneCellAnchor>
    <xdr:from>
      <xdr:col>45</xdr:col>
      <xdr:colOff>266015</xdr:colOff>
      <xdr:row>7</xdr:row>
      <xdr:rowOff>18018</xdr:rowOff>
    </xdr:from>
    <xdr:ext cx="2642968" cy="937629"/>
    <xdr:sp macro="" textlink="">
      <xdr:nvSpPr>
        <xdr:cNvPr id="4" name="Rectangle 3">
          <a:extLst>
            <a:ext uri="{FF2B5EF4-FFF2-40B4-BE49-F238E27FC236}">
              <a16:creationId xmlns:a16="http://schemas.microsoft.com/office/drawing/2014/main" id="{6A413DFD-97BF-5558-E88D-73D7A5BD6961}"/>
            </a:ext>
          </a:extLst>
        </xdr:cNvPr>
        <xdr:cNvSpPr/>
      </xdr:nvSpPr>
      <xdr:spPr>
        <a:xfrm>
          <a:off x="12383932" y="1393851"/>
          <a:ext cx="2642968" cy="937629"/>
        </a:xfrm>
        <a:prstGeom prst="rect">
          <a:avLst/>
        </a:prstGeom>
        <a:noFill/>
      </xdr:spPr>
      <xdr:txBody>
        <a:bodyPr wrap="none" lIns="91440" tIns="45720" rIns="91440" bIns="45720">
          <a:spAutoFit/>
        </a:bodyPr>
        <a:lstStyle/>
        <a:p>
          <a:pPr algn="ctr"/>
          <a:r>
            <a:rPr lang="fr-FR" sz="5400" b="1" cap="none" spc="0">
              <a:ln w="12700" cmpd="sng">
                <a:solidFill>
                  <a:schemeClr val="accent4"/>
                </a:solidFill>
                <a:prstDash val="solid"/>
              </a:ln>
              <a:gradFill>
                <a:gsLst>
                  <a:gs pos="0">
                    <a:schemeClr val="accent4"/>
                  </a:gs>
                  <a:gs pos="4000">
                    <a:schemeClr val="accent4">
                      <a:lumMod val="60000"/>
                      <a:lumOff val="40000"/>
                    </a:schemeClr>
                  </a:gs>
                  <a:gs pos="87000">
                    <a:schemeClr val="accent4">
                      <a:lumMod val="20000"/>
                      <a:lumOff val="80000"/>
                    </a:schemeClr>
                  </a:gs>
                </a:gsLst>
                <a:lin ang="5400000"/>
              </a:gradFill>
              <a:effectLst/>
            </a:rPr>
            <a:t>Exemple</a:t>
          </a:r>
        </a:p>
      </xdr:txBody>
    </xdr:sp>
    <xdr:clientData/>
  </xdr:oneCellAnchor>
  <xdr:twoCellAnchor>
    <xdr:from>
      <xdr:col>49</xdr:col>
      <xdr:colOff>0</xdr:colOff>
      <xdr:row>2</xdr:row>
      <xdr:rowOff>0</xdr:rowOff>
    </xdr:from>
    <xdr:to>
      <xdr:col>52</xdr:col>
      <xdr:colOff>609600</xdr:colOff>
      <xdr:row>6</xdr:row>
      <xdr:rowOff>167217</xdr:rowOff>
    </xdr:to>
    <xdr:sp macro="" textlink="">
      <xdr:nvSpPr>
        <xdr:cNvPr id="5" name="ZoneTexte 4">
          <a:extLst>
            <a:ext uri="{FF2B5EF4-FFF2-40B4-BE49-F238E27FC236}">
              <a16:creationId xmlns:a16="http://schemas.microsoft.com/office/drawing/2014/main" id="{B30391AF-7BC0-49F6-8FE4-7E0B64FBE14B}"/>
            </a:ext>
          </a:extLst>
        </xdr:cNvPr>
        <xdr:cNvSpPr txBox="1"/>
      </xdr:nvSpPr>
      <xdr:spPr>
        <a:xfrm>
          <a:off x="14497050" y="381000"/>
          <a:ext cx="2895600" cy="967317"/>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oneCellAnchor>
    <xdr:from>
      <xdr:col>45</xdr:col>
      <xdr:colOff>232834</xdr:colOff>
      <xdr:row>11</xdr:row>
      <xdr:rowOff>10583</xdr:rowOff>
    </xdr:from>
    <xdr:ext cx="5011821" cy="937629"/>
    <xdr:sp macro="" textlink="">
      <xdr:nvSpPr>
        <xdr:cNvPr id="6" name="Rectangle 5">
          <a:extLst>
            <a:ext uri="{FF2B5EF4-FFF2-40B4-BE49-F238E27FC236}">
              <a16:creationId xmlns:a16="http://schemas.microsoft.com/office/drawing/2014/main" id="{F03344A2-BC1E-4DF2-AB83-D177C565E2DB}"/>
            </a:ext>
          </a:extLst>
        </xdr:cNvPr>
        <xdr:cNvSpPr/>
      </xdr:nvSpPr>
      <xdr:spPr>
        <a:xfrm>
          <a:off x="12350751" y="2148416"/>
          <a:ext cx="5011821" cy="937629"/>
        </a:xfrm>
        <a:prstGeom prst="rect">
          <a:avLst/>
        </a:prstGeom>
        <a:noFill/>
      </xdr:spPr>
      <xdr:txBody>
        <a:bodyPr wrap="none" lIns="91440" tIns="45720" rIns="91440" bIns="45720">
          <a:spAutoFit/>
        </a:bodyPr>
        <a:lstStyle/>
        <a:p>
          <a:pPr algn="ctr"/>
          <a:r>
            <a:rPr lang="fr-FR" sz="5400" b="1" cap="none" spc="0">
              <a:ln w="22225">
                <a:solidFill>
                  <a:schemeClr val="accent2"/>
                </a:solidFill>
                <a:prstDash val="solid"/>
              </a:ln>
              <a:solidFill>
                <a:schemeClr val="accent2">
                  <a:lumMod val="40000"/>
                  <a:lumOff val="60000"/>
                </a:schemeClr>
              </a:solidFill>
              <a:effectLst/>
            </a:rPr>
            <a:t>Version</a:t>
          </a:r>
          <a:r>
            <a:rPr lang="fr-FR" sz="5400" b="1" cap="none" spc="0" baseline="0">
              <a:ln w="22225">
                <a:solidFill>
                  <a:schemeClr val="accent2"/>
                </a:solidFill>
                <a:prstDash val="solid"/>
              </a:ln>
              <a:solidFill>
                <a:schemeClr val="accent2">
                  <a:lumMod val="40000"/>
                  <a:lumOff val="60000"/>
                </a:schemeClr>
              </a:solidFill>
              <a:effectLst/>
            </a:rPr>
            <a:t> Mayotte</a:t>
          </a:r>
          <a:endParaRPr lang="fr-FR" sz="5400" b="1" cap="none" spc="0">
            <a:ln w="22225">
              <a:solidFill>
                <a:schemeClr val="accent2"/>
              </a:solidFill>
              <a:prstDash val="solid"/>
            </a:ln>
            <a:solidFill>
              <a:schemeClr val="accent2">
                <a:lumMod val="40000"/>
                <a:lumOff val="60000"/>
              </a:schemeClr>
            </a:solidFill>
            <a:effectLst/>
          </a:endParaRP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BY107"/>
  <sheetViews>
    <sheetView showGridLines="0" tabSelected="1" zoomScale="90" zoomScaleNormal="90" workbookViewId="0">
      <selection sqref="A1:AO1"/>
    </sheetView>
  </sheetViews>
  <sheetFormatPr baseColWidth="10" defaultRowHeight="15" x14ac:dyDescent="0.25"/>
  <cols>
    <col min="1" max="1" width="4.42578125" style="15" customWidth="1"/>
    <col min="2" max="2" width="8.85546875" style="15" customWidth="1"/>
    <col min="3" max="5" width="3.42578125" style="15" customWidth="1"/>
    <col min="6" max="6" width="4.5703125" style="15" customWidth="1"/>
    <col min="7" max="7" width="4.28515625" style="15" customWidth="1"/>
    <col min="8" max="15" width="3.42578125" style="15" customWidth="1"/>
    <col min="16" max="16" width="4.5703125" style="15" customWidth="1"/>
    <col min="17" max="17" width="2.42578125" style="15" customWidth="1"/>
    <col min="18" max="26" width="3.42578125" style="15" customWidth="1"/>
    <col min="27" max="27" width="1.28515625" style="15" customWidth="1"/>
    <col min="28" max="28" width="3" style="15" customWidth="1"/>
    <col min="29" max="29" width="3.5703125" style="15" customWidth="1"/>
    <col min="30" max="40" width="3" style="15" customWidth="1"/>
    <col min="41" max="42" width="3.7109375" style="15" customWidth="1"/>
    <col min="43" max="45" width="11.42578125" style="13"/>
    <col min="46" max="46" width="7" style="13" customWidth="1"/>
    <col min="47" max="47" width="11.42578125" style="13"/>
    <col min="48" max="48" width="7.28515625" style="13" customWidth="1"/>
    <col min="49" max="49" width="11.42578125" style="13"/>
    <col min="53" max="54" width="11.42578125" customWidth="1"/>
    <col min="55" max="55" width="15.7109375" customWidth="1"/>
    <col min="56" max="56" width="17.140625" customWidth="1"/>
    <col min="57" max="57" width="11.42578125" customWidth="1"/>
    <col min="58" max="64" width="11.42578125" hidden="1" customWidth="1"/>
    <col min="65" max="74" width="11.42578125" customWidth="1"/>
    <col min="75" max="77" width="11.42578125" hidden="1" customWidth="1"/>
    <col min="78" max="104" width="11.42578125" customWidth="1"/>
  </cols>
  <sheetData>
    <row r="1" spans="1:76" ht="18" x14ac:dyDescent="0.25">
      <c r="A1" s="344" t="s">
        <v>0</v>
      </c>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BC1" s="331" t="s">
        <v>110</v>
      </c>
      <c r="BD1" s="331"/>
      <c r="BJ1" s="3" t="s">
        <v>114</v>
      </c>
      <c r="BX1" t="s">
        <v>178</v>
      </c>
    </row>
    <row r="2" spans="1:76" ht="12" customHeight="1" x14ac:dyDescent="0.25">
      <c r="A2" s="78"/>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R2" s="13" t="s">
        <v>104</v>
      </c>
      <c r="BC2" s="166">
        <v>46023</v>
      </c>
      <c r="BD2" s="170">
        <v>0.88200000000000001</v>
      </c>
      <c r="BJ2" s="2">
        <v>46023</v>
      </c>
      <c r="BX2" t="s">
        <v>177</v>
      </c>
    </row>
    <row r="3" spans="1:76" ht="18" x14ac:dyDescent="0.25">
      <c r="A3" s="345" t="s">
        <v>1</v>
      </c>
      <c r="B3" s="346"/>
      <c r="C3" s="346"/>
      <c r="D3" s="346"/>
      <c r="E3" s="346"/>
      <c r="F3" s="346"/>
      <c r="G3" s="346"/>
      <c r="H3" s="346"/>
      <c r="I3" s="346"/>
      <c r="J3" s="346"/>
      <c r="K3" s="346"/>
      <c r="L3" s="346"/>
      <c r="M3" s="346"/>
      <c r="N3" s="346"/>
      <c r="O3" s="346"/>
      <c r="P3" s="346"/>
      <c r="Q3" s="346"/>
      <c r="R3" s="347"/>
      <c r="S3" s="78"/>
      <c r="T3" s="78"/>
      <c r="U3" s="78"/>
      <c r="V3" s="79" t="s">
        <v>2</v>
      </c>
      <c r="W3" s="80"/>
      <c r="X3" s="348">
        <v>46054</v>
      </c>
      <c r="Y3" s="349"/>
      <c r="Z3" s="349"/>
      <c r="AA3" s="349"/>
      <c r="AB3" s="349"/>
      <c r="AC3" s="350"/>
      <c r="AD3" s="78"/>
      <c r="AE3" s="78"/>
      <c r="AF3" s="351" t="s">
        <v>3</v>
      </c>
      <c r="AG3" s="352"/>
      <c r="AH3" s="353"/>
      <c r="AI3" s="354"/>
      <c r="AJ3" s="355"/>
      <c r="AK3" s="355"/>
      <c r="AL3" s="355"/>
      <c r="AM3" s="355"/>
      <c r="AN3" s="355"/>
      <c r="AO3" s="356"/>
      <c r="AR3" s="571" t="s">
        <v>108</v>
      </c>
      <c r="AS3" s="571"/>
      <c r="AT3" s="81"/>
      <c r="BC3" s="166"/>
      <c r="BD3" s="170"/>
      <c r="BJ3" s="2">
        <f>+DATE(YEAR(BJ2),MONTH(BJ2)+1,1)</f>
        <v>46054</v>
      </c>
    </row>
    <row r="4" spans="1:76" x14ac:dyDescent="0.25">
      <c r="A4" s="335" t="s">
        <v>4</v>
      </c>
      <c r="B4" s="336"/>
      <c r="C4" s="336"/>
      <c r="D4" s="336"/>
      <c r="E4" s="340"/>
      <c r="F4" s="340"/>
      <c r="G4" s="340"/>
      <c r="H4" s="340"/>
      <c r="I4" s="340"/>
      <c r="J4" s="340"/>
      <c r="K4" s="340"/>
      <c r="L4" s="340"/>
      <c r="M4" s="340"/>
      <c r="N4" s="340"/>
      <c r="O4" s="340"/>
      <c r="P4" s="340"/>
      <c r="Q4" s="340"/>
      <c r="R4" s="341"/>
      <c r="V4" s="82" t="s">
        <v>5</v>
      </c>
      <c r="W4" s="83"/>
      <c r="X4" s="357">
        <v>2026</v>
      </c>
      <c r="Y4" s="358"/>
      <c r="Z4" s="358"/>
      <c r="AA4" s="358"/>
      <c r="AB4" s="358"/>
      <c r="AC4" s="359"/>
      <c r="AE4" s="84"/>
      <c r="AF4" s="360" t="s">
        <v>6</v>
      </c>
      <c r="AG4" s="361"/>
      <c r="AH4" s="361"/>
      <c r="AI4" s="362"/>
      <c r="AJ4" s="585"/>
      <c r="AK4" s="586"/>
      <c r="AL4" s="586"/>
      <c r="AM4" s="586"/>
      <c r="AN4" s="586"/>
      <c r="AO4" s="587"/>
      <c r="AP4" s="73"/>
      <c r="BC4" s="166"/>
      <c r="BD4" s="170"/>
      <c r="BJ4" s="2">
        <f t="shared" ref="BJ4:BJ13" si="0">+DATE(YEAR(BJ3),MONTH(BJ3)+1,1)</f>
        <v>46082</v>
      </c>
    </row>
    <row r="5" spans="1:76" x14ac:dyDescent="0.25">
      <c r="A5" s="213" t="s">
        <v>7</v>
      </c>
      <c r="B5" s="337"/>
      <c r="C5" s="337"/>
      <c r="D5" s="337"/>
      <c r="E5" s="342"/>
      <c r="F5" s="342"/>
      <c r="G5" s="342"/>
      <c r="H5" s="342"/>
      <c r="I5" s="342"/>
      <c r="J5" s="342"/>
      <c r="K5" s="342"/>
      <c r="L5" s="342"/>
      <c r="M5" s="342"/>
      <c r="N5" s="342"/>
      <c r="O5" s="342"/>
      <c r="P5" s="342"/>
      <c r="Q5" s="342"/>
      <c r="R5" s="343"/>
      <c r="V5" s="85" t="s">
        <v>8</v>
      </c>
      <c r="W5" s="86"/>
      <c r="X5" s="572">
        <f>IF(AT5="",+X3,DATE(YEAR(X3),MONTH(X3),DAY(AT5)))</f>
        <v>46054</v>
      </c>
      <c r="Y5" s="573"/>
      <c r="Z5" s="467" t="s">
        <v>9</v>
      </c>
      <c r="AA5" s="467"/>
      <c r="AB5" s="573">
        <f>IF(AV5="",+EOMONTH(X3,0),DATE(YEAR(X3),MONTH(X3),DAY(AV5)))</f>
        <v>46081</v>
      </c>
      <c r="AC5" s="574"/>
      <c r="AP5" s="87"/>
      <c r="AS5" s="63" t="s">
        <v>173</v>
      </c>
      <c r="AT5" s="163"/>
      <c r="AU5" s="132" t="s">
        <v>9</v>
      </c>
      <c r="AV5" s="163"/>
      <c r="BC5" s="166"/>
      <c r="BD5" s="170"/>
      <c r="BJ5" s="2">
        <f>+DATE(YEAR(BJ4),MONTH(BJ4)+1,1)</f>
        <v>46113</v>
      </c>
    </row>
    <row r="6" spans="1:76" x14ac:dyDescent="0.25">
      <c r="A6" s="213" t="s">
        <v>10</v>
      </c>
      <c r="B6" s="337"/>
      <c r="C6" s="337"/>
      <c r="D6" s="337"/>
      <c r="E6" s="342"/>
      <c r="F6" s="342"/>
      <c r="G6" s="342"/>
      <c r="H6" s="342"/>
      <c r="I6" s="342"/>
      <c r="J6" s="342"/>
      <c r="K6" s="342"/>
      <c r="L6" s="342"/>
      <c r="M6" s="342"/>
      <c r="N6" s="342"/>
      <c r="O6" s="342"/>
      <c r="P6" s="342"/>
      <c r="Q6" s="342"/>
      <c r="R6" s="343"/>
      <c r="BJ6" s="2">
        <f>+DATE(YEAR(BJ5),MONTH(BJ5)+1,1)</f>
        <v>46143</v>
      </c>
    </row>
    <row r="7" spans="1:76" x14ac:dyDescent="0.25">
      <c r="A7" s="213" t="s">
        <v>11</v>
      </c>
      <c r="B7" s="337"/>
      <c r="C7" s="337"/>
      <c r="D7" s="337"/>
      <c r="E7" s="342"/>
      <c r="F7" s="342"/>
      <c r="G7" s="342"/>
      <c r="H7" s="342"/>
      <c r="I7" s="342"/>
      <c r="J7" s="342"/>
      <c r="K7" s="342"/>
      <c r="L7" s="342"/>
      <c r="M7" s="342"/>
      <c r="N7" s="342"/>
      <c r="O7" s="342"/>
      <c r="P7" s="342"/>
      <c r="Q7" s="342"/>
      <c r="R7" s="343"/>
      <c r="V7" s="345" t="s">
        <v>12</v>
      </c>
      <c r="W7" s="346"/>
      <c r="X7" s="346"/>
      <c r="Y7" s="346"/>
      <c r="Z7" s="346"/>
      <c r="AA7" s="346"/>
      <c r="AB7" s="346"/>
      <c r="AC7" s="346"/>
      <c r="AD7" s="346"/>
      <c r="AE7" s="346"/>
      <c r="AF7" s="346"/>
      <c r="AG7" s="346"/>
      <c r="AH7" s="346"/>
      <c r="AI7" s="346"/>
      <c r="AJ7" s="346"/>
      <c r="AK7" s="346"/>
      <c r="AL7" s="346"/>
      <c r="AM7" s="346"/>
      <c r="AN7" s="346"/>
      <c r="AO7" s="347"/>
      <c r="AP7" s="88"/>
      <c r="AR7" s="13" t="s">
        <v>112</v>
      </c>
      <c r="BC7" s="332" t="s">
        <v>111</v>
      </c>
      <c r="BD7" s="332"/>
      <c r="BJ7" s="2">
        <f t="shared" si="0"/>
        <v>46174</v>
      </c>
    </row>
    <row r="8" spans="1:76" x14ac:dyDescent="0.25">
      <c r="A8" s="338" t="s">
        <v>13</v>
      </c>
      <c r="B8" s="339"/>
      <c r="C8" s="339"/>
      <c r="D8" s="339"/>
      <c r="E8" s="333"/>
      <c r="F8" s="333"/>
      <c r="G8" s="333"/>
      <c r="H8" s="333"/>
      <c r="I8" s="333"/>
      <c r="J8" s="333"/>
      <c r="K8" s="333"/>
      <c r="L8" s="333"/>
      <c r="M8" s="333"/>
      <c r="N8" s="333"/>
      <c r="O8" s="333"/>
      <c r="P8" s="333"/>
      <c r="Q8" s="333"/>
      <c r="R8" s="334"/>
      <c r="V8" s="335" t="s">
        <v>4</v>
      </c>
      <c r="W8" s="336"/>
      <c r="X8" s="336"/>
      <c r="Y8" s="336"/>
      <c r="Z8" s="340"/>
      <c r="AA8" s="340"/>
      <c r="AB8" s="340"/>
      <c r="AC8" s="340"/>
      <c r="AD8" s="340"/>
      <c r="AE8" s="340"/>
      <c r="AF8" s="340"/>
      <c r="AG8" s="340"/>
      <c r="AH8" s="340"/>
      <c r="AI8" s="340"/>
      <c r="AJ8" s="340"/>
      <c r="AK8" s="340"/>
      <c r="AL8" s="340"/>
      <c r="AM8" s="340"/>
      <c r="AN8" s="340"/>
      <c r="AO8" s="341"/>
      <c r="AR8" s="164" t="s">
        <v>109</v>
      </c>
      <c r="BC8" s="207">
        <v>46023</v>
      </c>
      <c r="BD8" s="209">
        <v>0.76819999999999999</v>
      </c>
      <c r="BJ8" s="2">
        <f t="shared" si="0"/>
        <v>46204</v>
      </c>
    </row>
    <row r="9" spans="1:76" x14ac:dyDescent="0.25">
      <c r="V9" s="213" t="s">
        <v>7</v>
      </c>
      <c r="W9" s="337"/>
      <c r="X9" s="337"/>
      <c r="Y9" s="337"/>
      <c r="Z9" s="342"/>
      <c r="AA9" s="342"/>
      <c r="AB9" s="342"/>
      <c r="AC9" s="342"/>
      <c r="AD9" s="342"/>
      <c r="AE9" s="342"/>
      <c r="AF9" s="342"/>
      <c r="AG9" s="342"/>
      <c r="AH9" s="342"/>
      <c r="AI9" s="342"/>
      <c r="AJ9" s="342"/>
      <c r="AK9" s="342"/>
      <c r="AL9" s="342"/>
      <c r="AM9" s="342"/>
      <c r="AN9" s="342"/>
      <c r="AO9" s="343"/>
      <c r="BC9" s="207"/>
      <c r="BD9" s="209"/>
      <c r="BJ9" s="2">
        <f t="shared" si="0"/>
        <v>46235</v>
      </c>
    </row>
    <row r="10" spans="1:76" x14ac:dyDescent="0.25">
      <c r="A10" s="575" t="s">
        <v>14</v>
      </c>
      <c r="B10" s="575"/>
      <c r="C10" s="575"/>
      <c r="D10" s="575"/>
      <c r="E10" s="575"/>
      <c r="F10" s="575"/>
      <c r="G10" s="575"/>
      <c r="H10" s="575"/>
      <c r="I10" s="575"/>
      <c r="J10" s="575"/>
      <c r="K10" s="575"/>
      <c r="L10" s="575"/>
      <c r="M10" s="575"/>
      <c r="V10" s="213" t="s">
        <v>10</v>
      </c>
      <c r="W10" s="337"/>
      <c r="X10" s="337"/>
      <c r="Y10" s="337"/>
      <c r="Z10" s="342"/>
      <c r="AA10" s="342"/>
      <c r="AB10" s="342"/>
      <c r="AC10" s="342"/>
      <c r="AD10" s="342"/>
      <c r="AE10" s="342"/>
      <c r="AF10" s="342"/>
      <c r="AG10" s="342"/>
      <c r="AH10" s="342"/>
      <c r="AI10" s="342"/>
      <c r="AJ10" s="342"/>
      <c r="AK10" s="342"/>
      <c r="AL10" s="342"/>
      <c r="AM10" s="342"/>
      <c r="AN10" s="342"/>
      <c r="AO10" s="343"/>
      <c r="AR10" s="13" t="s">
        <v>113</v>
      </c>
      <c r="BC10" s="207"/>
      <c r="BD10" s="209"/>
      <c r="BJ10" s="2">
        <f t="shared" si="0"/>
        <v>46266</v>
      </c>
    </row>
    <row r="11" spans="1:76" x14ac:dyDescent="0.25">
      <c r="A11" s="575"/>
      <c r="B11" s="575"/>
      <c r="C11" s="575"/>
      <c r="D11" s="575"/>
      <c r="E11" s="575"/>
      <c r="F11" s="575"/>
      <c r="G11" s="575"/>
      <c r="H11" s="575"/>
      <c r="I11" s="575"/>
      <c r="J11" s="575"/>
      <c r="K11" s="575"/>
      <c r="L11" s="575"/>
      <c r="M11" s="575"/>
      <c r="V11" s="213" t="s">
        <v>15</v>
      </c>
      <c r="W11" s="337"/>
      <c r="X11" s="337"/>
      <c r="Y11" s="337"/>
      <c r="Z11" s="342"/>
      <c r="AA11" s="342"/>
      <c r="AB11" s="342"/>
      <c r="AC11" s="342"/>
      <c r="AD11" s="342"/>
      <c r="AE11" s="342"/>
      <c r="AF11" s="342"/>
      <c r="AG11" s="342"/>
      <c r="AH11" s="342"/>
      <c r="AI11" s="342"/>
      <c r="AJ11" s="342"/>
      <c r="AK11" s="342"/>
      <c r="AL11" s="342"/>
      <c r="AM11" s="342"/>
      <c r="AN11" s="342"/>
      <c r="AO11" s="343"/>
      <c r="AR11" s="89">
        <f>+IF(AR8="OUI",VLOOKUP(X3,BC8:BD11,2,TRUE),VLOOKUP(X3,BC2:BD5,2,TRUE))</f>
        <v>0.88200000000000001</v>
      </c>
      <c r="BC11" s="207"/>
      <c r="BD11" s="209"/>
      <c r="BJ11" s="2">
        <f t="shared" si="0"/>
        <v>46296</v>
      </c>
    </row>
    <row r="12" spans="1:76" x14ac:dyDescent="0.25">
      <c r="V12" s="338" t="s">
        <v>16</v>
      </c>
      <c r="W12" s="339"/>
      <c r="X12" s="339"/>
      <c r="Y12" s="339"/>
      <c r="Z12" s="333"/>
      <c r="AA12" s="333"/>
      <c r="AB12" s="333"/>
      <c r="AC12" s="333"/>
      <c r="AD12" s="333"/>
      <c r="AE12" s="333"/>
      <c r="AF12" s="333"/>
      <c r="AG12" s="333"/>
      <c r="AH12" s="333"/>
      <c r="AI12" s="333"/>
      <c r="AJ12" s="333"/>
      <c r="AK12" s="333"/>
      <c r="AL12" s="333"/>
      <c r="AM12" s="333"/>
      <c r="AN12" s="333"/>
      <c r="AO12" s="334"/>
      <c r="BJ12" s="2">
        <f t="shared" si="0"/>
        <v>46327</v>
      </c>
    </row>
    <row r="13" spans="1:76" x14ac:dyDescent="0.25">
      <c r="A13" s="90"/>
      <c r="B13" s="90"/>
      <c r="C13" s="90"/>
      <c r="D13" s="90"/>
      <c r="E13" s="90"/>
      <c r="F13" s="90"/>
      <c r="G13" s="90"/>
      <c r="H13" s="90"/>
      <c r="I13" s="90"/>
      <c r="J13" s="90"/>
      <c r="K13" s="90"/>
      <c r="L13" s="90"/>
      <c r="M13" s="90"/>
      <c r="AN13" s="91"/>
      <c r="AR13" s="12" t="s">
        <v>121</v>
      </c>
      <c r="AS13" s="12"/>
      <c r="BC13" s="332" t="s">
        <v>117</v>
      </c>
      <c r="BD13" s="332"/>
      <c r="BJ13" s="2">
        <f t="shared" si="0"/>
        <v>46357</v>
      </c>
    </row>
    <row r="14" spans="1:76" x14ac:dyDescent="0.25">
      <c r="G14" s="71" t="s">
        <v>17</v>
      </c>
      <c r="H14" s="576"/>
      <c r="I14" s="577"/>
      <c r="J14" s="577"/>
      <c r="K14" s="578"/>
      <c r="O14" s="579" t="s">
        <v>18</v>
      </c>
      <c r="P14" s="579"/>
      <c r="Q14" s="579"/>
      <c r="R14" s="579"/>
      <c r="S14" s="579"/>
      <c r="T14" s="580"/>
      <c r="U14" s="576"/>
      <c r="V14" s="577"/>
      <c r="W14" s="577"/>
      <c r="X14" s="581"/>
      <c r="AE14" s="360" t="s">
        <v>19</v>
      </c>
      <c r="AF14" s="361"/>
      <c r="AG14" s="361"/>
      <c r="AH14" s="361"/>
      <c r="AI14" s="361"/>
      <c r="AJ14" s="361"/>
      <c r="AK14" s="362"/>
      <c r="AL14" s="582"/>
      <c r="AM14" s="583"/>
      <c r="AN14" s="583"/>
      <c r="AO14" s="584"/>
      <c r="AR14" s="165" t="s">
        <v>109</v>
      </c>
      <c r="BC14" s="207">
        <v>46023</v>
      </c>
      <c r="BD14" s="208">
        <v>1.2999999999999999E-2</v>
      </c>
    </row>
    <row r="15" spans="1:76" x14ac:dyDescent="0.25">
      <c r="A15" s="15" t="s">
        <v>118</v>
      </c>
      <c r="L15" s="71" t="s">
        <v>119</v>
      </c>
      <c r="M15" s="525">
        <v>0.1</v>
      </c>
      <c r="N15" s="526"/>
      <c r="W15" s="71" t="s">
        <v>120</v>
      </c>
      <c r="X15" s="539">
        <v>0</v>
      </c>
      <c r="Y15" s="540"/>
      <c r="Z15" s="92"/>
      <c r="AE15" s="360" t="s">
        <v>20</v>
      </c>
      <c r="AF15" s="361"/>
      <c r="AG15" s="361"/>
      <c r="AH15" s="361"/>
      <c r="AI15" s="361"/>
      <c r="AJ15" s="361"/>
      <c r="AK15" s="362"/>
      <c r="AL15" s="527">
        <f>AL14*AR11</f>
        <v>0</v>
      </c>
      <c r="AM15" s="528"/>
      <c r="AN15" s="528"/>
      <c r="AO15" s="529"/>
      <c r="AP15" s="93"/>
      <c r="BC15" s="207"/>
      <c r="BD15" s="208"/>
    </row>
    <row r="16" spans="1:76" ht="9.75" customHeight="1" x14ac:dyDescent="0.25">
      <c r="AP16" s="93"/>
      <c r="BC16" s="207"/>
      <c r="BD16" s="208"/>
    </row>
    <row r="17" spans="1:60" ht="11.25" customHeight="1" thickBot="1" x14ac:dyDescent="0.3">
      <c r="M17" s="94"/>
      <c r="N17" s="94"/>
      <c r="AE17" s="73"/>
      <c r="AF17" s="73"/>
      <c r="AG17" s="73"/>
      <c r="AH17" s="73"/>
      <c r="AI17" s="73"/>
      <c r="AJ17" s="73"/>
      <c r="AK17" s="73"/>
      <c r="AL17" s="93"/>
      <c r="AM17" s="93"/>
      <c r="AN17" s="93"/>
      <c r="AO17" s="93"/>
      <c r="AP17" s="93"/>
      <c r="AR17" s="214" t="s">
        <v>122</v>
      </c>
      <c r="AS17" s="214"/>
      <c r="BC17" s="207"/>
      <c r="BD17" s="208"/>
    </row>
    <row r="18" spans="1:60" ht="15.75" thickTop="1" x14ac:dyDescent="0.25">
      <c r="A18" s="345" t="s">
        <v>21</v>
      </c>
      <c r="B18" s="346"/>
      <c r="C18" s="346"/>
      <c r="D18" s="346"/>
      <c r="E18" s="346"/>
      <c r="F18" s="346"/>
      <c r="G18" s="346"/>
      <c r="H18" s="346"/>
      <c r="I18" s="346"/>
      <c r="J18" s="346"/>
      <c r="K18" s="347"/>
      <c r="L18" s="530" t="s">
        <v>22</v>
      </c>
      <c r="M18" s="530"/>
      <c r="N18" s="530"/>
      <c r="O18" s="531"/>
      <c r="P18" s="532" t="s">
        <v>23</v>
      </c>
      <c r="Q18" s="530"/>
      <c r="R18" s="530"/>
      <c r="S18" s="531"/>
      <c r="T18" s="532" t="s">
        <v>24</v>
      </c>
      <c r="U18" s="530"/>
      <c r="V18" s="530"/>
      <c r="W18" s="531"/>
      <c r="AB18" s="533" t="s">
        <v>25</v>
      </c>
      <c r="AC18" s="534"/>
      <c r="AD18" s="537" t="s">
        <v>26</v>
      </c>
      <c r="AE18" s="537"/>
      <c r="AF18" s="537"/>
      <c r="AG18" s="537" t="s">
        <v>27</v>
      </c>
      <c r="AH18" s="537"/>
      <c r="AI18" s="537"/>
      <c r="AJ18" s="537" t="s">
        <v>28</v>
      </c>
      <c r="AK18" s="537"/>
      <c r="AL18" s="550"/>
      <c r="AO18" s="13"/>
      <c r="AP18" s="13"/>
      <c r="AR18" s="133">
        <v>46023</v>
      </c>
      <c r="AS18" s="134">
        <v>12.02</v>
      </c>
      <c r="BH18" t="s">
        <v>123</v>
      </c>
    </row>
    <row r="19" spans="1:60" ht="15" customHeight="1" x14ac:dyDescent="0.25">
      <c r="A19" s="552" t="str">
        <f>+IF(AR14="OUI","Salaire (Nbre d'heures réelles)",IF(AND(AR14="NON",U14&gt;0),"Salaire mensualisé (hrs &lt; ou = à 45 hrs / sem)","Salaire mensualisé"))</f>
        <v>Salaire mensualisé</v>
      </c>
      <c r="B19" s="553"/>
      <c r="C19" s="553"/>
      <c r="D19" s="553"/>
      <c r="E19" s="553"/>
      <c r="F19" s="553"/>
      <c r="G19" s="553"/>
      <c r="H19" s="553"/>
      <c r="I19" s="553"/>
      <c r="J19" s="553"/>
      <c r="K19" s="554"/>
      <c r="L19" s="555">
        <f>IF(AR14="OUI",AD51,H14)</f>
        <v>0</v>
      </c>
      <c r="M19" s="555"/>
      <c r="N19" s="555"/>
      <c r="O19" s="556"/>
      <c r="P19" s="557">
        <f>AL14</f>
        <v>0</v>
      </c>
      <c r="Q19" s="558"/>
      <c r="R19" s="558"/>
      <c r="S19" s="559"/>
      <c r="T19" s="560">
        <f t="shared" ref="T19:T23" si="1">+P19*L19</f>
        <v>0</v>
      </c>
      <c r="U19" s="561"/>
      <c r="V19" s="561"/>
      <c r="W19" s="562"/>
      <c r="X19" s="73"/>
      <c r="Y19" s="73"/>
      <c r="Z19" s="73"/>
      <c r="AA19" s="95"/>
      <c r="AB19" s="535"/>
      <c r="AC19" s="536"/>
      <c r="AD19" s="538"/>
      <c r="AE19" s="538"/>
      <c r="AF19" s="538"/>
      <c r="AG19" s="538"/>
      <c r="AH19" s="538"/>
      <c r="AI19" s="538"/>
      <c r="AJ19" s="538"/>
      <c r="AK19" s="538"/>
      <c r="AL19" s="551"/>
      <c r="AM19" s="96"/>
      <c r="AN19" s="13"/>
      <c r="AO19" s="13"/>
      <c r="AP19" s="13"/>
      <c r="AR19" s="166"/>
      <c r="AS19" s="167"/>
      <c r="BC19" s="331" t="s">
        <v>208</v>
      </c>
      <c r="BD19" s="331"/>
      <c r="BG19" t="s">
        <v>35</v>
      </c>
    </row>
    <row r="20" spans="1:60" x14ac:dyDescent="0.25">
      <c r="A20" s="213" t="str">
        <f>+IF(U14&lt;=0,"","Heures supp mensualisées majorées")</f>
        <v/>
      </c>
      <c r="B20" s="337"/>
      <c r="C20" s="337"/>
      <c r="D20" s="337"/>
      <c r="E20" s="337"/>
      <c r="F20" s="337"/>
      <c r="G20" s="337"/>
      <c r="H20" s="337"/>
      <c r="I20" s="337"/>
      <c r="J20" s="337"/>
      <c r="K20" s="563"/>
      <c r="L20" s="569">
        <f>IF(A19="Salaire heures normales réelles",0,U14)</f>
        <v>0</v>
      </c>
      <c r="M20" s="569"/>
      <c r="N20" s="569"/>
      <c r="O20" s="570"/>
      <c r="P20" s="516">
        <f>++IF(L20=0,0,P19)</f>
        <v>0</v>
      </c>
      <c r="Q20" s="517"/>
      <c r="R20" s="517"/>
      <c r="S20" s="518"/>
      <c r="T20" s="567">
        <f t="shared" si="1"/>
        <v>0</v>
      </c>
      <c r="U20" s="363"/>
      <c r="V20" s="363"/>
      <c r="W20" s="568"/>
      <c r="X20" s="74"/>
      <c r="Y20" s="74"/>
      <c r="Z20" s="74"/>
      <c r="AA20" s="65"/>
      <c r="AB20" s="428">
        <f>+$X$3</f>
        <v>46054</v>
      </c>
      <c r="AC20" s="428">
        <f>+$D$6</f>
        <v>0</v>
      </c>
      <c r="AD20" s="429"/>
      <c r="AE20" s="429"/>
      <c r="AF20" s="429"/>
      <c r="AG20" s="430"/>
      <c r="AH20" s="430"/>
      <c r="AI20" s="430"/>
      <c r="AJ20" s="429"/>
      <c r="AK20" s="429"/>
      <c r="AL20" s="431"/>
      <c r="AM20" s="97"/>
      <c r="AN20" s="98">
        <f>SUM(AD20:AL20)</f>
        <v>0</v>
      </c>
      <c r="AO20" s="13"/>
      <c r="AP20" s="13"/>
      <c r="AR20" s="166"/>
      <c r="AS20" s="167"/>
      <c r="BC20" s="166">
        <v>46023</v>
      </c>
      <c r="BD20" s="171">
        <v>3022</v>
      </c>
    </row>
    <row r="21" spans="1:60" x14ac:dyDescent="0.25">
      <c r="A21" s="213" t="str">
        <f>+IF(U14&lt;=0,"","Majoration hrs majorées mensuelles")</f>
        <v/>
      </c>
      <c r="B21" s="337"/>
      <c r="C21" s="337"/>
      <c r="D21" s="337"/>
      <c r="E21" s="337"/>
      <c r="F21" s="337"/>
      <c r="G21" s="337"/>
      <c r="H21" s="337"/>
      <c r="I21" s="337"/>
      <c r="J21" s="337"/>
      <c r="K21" s="563"/>
      <c r="L21" s="564"/>
      <c r="M21" s="564"/>
      <c r="N21" s="564"/>
      <c r="O21" s="565"/>
      <c r="P21" s="566">
        <f>+IF(L20=0,0,P19*M15)</f>
        <v>0</v>
      </c>
      <c r="Q21" s="517"/>
      <c r="R21" s="517"/>
      <c r="S21" s="518"/>
      <c r="T21" s="567">
        <f>+P21*L21</f>
        <v>0</v>
      </c>
      <c r="U21" s="363"/>
      <c r="V21" s="363"/>
      <c r="W21" s="568"/>
      <c r="X21" s="74"/>
      <c r="Y21" s="74"/>
      <c r="Z21" s="74"/>
      <c r="AA21" s="65"/>
      <c r="AB21" s="428">
        <f>+$X$3+1</f>
        <v>46055</v>
      </c>
      <c r="AC21" s="428">
        <f>+$D$6+1</f>
        <v>1</v>
      </c>
      <c r="AD21" s="429"/>
      <c r="AE21" s="429"/>
      <c r="AF21" s="429"/>
      <c r="AG21" s="430"/>
      <c r="AH21" s="430"/>
      <c r="AI21" s="430"/>
      <c r="AJ21" s="429"/>
      <c r="AK21" s="429"/>
      <c r="AL21" s="431"/>
      <c r="AM21" s="97"/>
      <c r="AN21" s="98">
        <f t="shared" ref="AN21:AN50" si="2">SUM(AD21:AL21)</f>
        <v>0</v>
      </c>
      <c r="AO21" s="13"/>
      <c r="AP21" s="13"/>
      <c r="AR21" s="166"/>
      <c r="AS21" s="168"/>
      <c r="BC21" s="166"/>
      <c r="BD21" s="171"/>
    </row>
    <row r="22" spans="1:60" x14ac:dyDescent="0.25">
      <c r="A22" s="213" t="s">
        <v>29</v>
      </c>
      <c r="B22" s="337"/>
      <c r="C22" s="337"/>
      <c r="D22" s="337"/>
      <c r="E22" s="337"/>
      <c r="F22" s="337"/>
      <c r="G22" s="337"/>
      <c r="H22" s="337"/>
      <c r="I22" s="337"/>
      <c r="J22" s="337"/>
      <c r="K22" s="563"/>
      <c r="L22" s="483">
        <f>AG51</f>
        <v>0</v>
      </c>
      <c r="M22" s="483"/>
      <c r="N22" s="483"/>
      <c r="O22" s="484"/>
      <c r="P22" s="516">
        <f>+P19*(1+X15)</f>
        <v>0</v>
      </c>
      <c r="Q22" s="517"/>
      <c r="R22" s="517"/>
      <c r="S22" s="518"/>
      <c r="T22" s="567">
        <f t="shared" si="1"/>
        <v>0</v>
      </c>
      <c r="U22" s="363"/>
      <c r="V22" s="363"/>
      <c r="W22" s="568"/>
      <c r="X22" s="74"/>
      <c r="Y22" s="74"/>
      <c r="Z22" s="74"/>
      <c r="AA22" s="65"/>
      <c r="AB22" s="428">
        <f>+$X$3+2</f>
        <v>46056</v>
      </c>
      <c r="AC22" s="428">
        <f>+$D$6+2</f>
        <v>2</v>
      </c>
      <c r="AD22" s="429"/>
      <c r="AE22" s="429"/>
      <c r="AF22" s="429"/>
      <c r="AG22" s="430"/>
      <c r="AH22" s="430"/>
      <c r="AI22" s="430"/>
      <c r="AJ22" s="429"/>
      <c r="AK22" s="429"/>
      <c r="AL22" s="431"/>
      <c r="AM22" s="97"/>
      <c r="AN22" s="98">
        <f t="shared" si="2"/>
        <v>0</v>
      </c>
      <c r="AO22" s="13"/>
      <c r="AP22" s="13"/>
      <c r="AR22" s="166"/>
      <c r="AS22" s="168"/>
      <c r="BC22" s="166"/>
      <c r="BD22" s="171"/>
    </row>
    <row r="23" spans="1:60" x14ac:dyDescent="0.25">
      <c r="A23" s="338" t="s">
        <v>30</v>
      </c>
      <c r="B23" s="339"/>
      <c r="C23" s="339"/>
      <c r="D23" s="339"/>
      <c r="E23" s="339"/>
      <c r="F23" s="339"/>
      <c r="G23" s="339"/>
      <c r="H23" s="339"/>
      <c r="I23" s="339"/>
      <c r="J23" s="339"/>
      <c r="K23" s="601"/>
      <c r="L23" s="483">
        <f>+AJ51</f>
        <v>0</v>
      </c>
      <c r="M23" s="483"/>
      <c r="N23" s="483"/>
      <c r="O23" s="484"/>
      <c r="P23" s="516">
        <f>+AL14*(1+M15)</f>
        <v>0</v>
      </c>
      <c r="Q23" s="517"/>
      <c r="R23" s="517"/>
      <c r="S23" s="518"/>
      <c r="T23" s="567">
        <f t="shared" si="1"/>
        <v>0</v>
      </c>
      <c r="U23" s="363"/>
      <c r="V23" s="363"/>
      <c r="W23" s="568"/>
      <c r="X23" s="75"/>
      <c r="Y23" s="75"/>
      <c r="Z23" s="75"/>
      <c r="AA23" s="65"/>
      <c r="AB23" s="428">
        <f>+$X$3+3</f>
        <v>46057</v>
      </c>
      <c r="AC23" s="428">
        <f>+$D$6+3</f>
        <v>3</v>
      </c>
      <c r="AD23" s="429"/>
      <c r="AE23" s="429"/>
      <c r="AF23" s="429"/>
      <c r="AG23" s="430"/>
      <c r="AH23" s="430"/>
      <c r="AI23" s="430"/>
      <c r="AJ23" s="429"/>
      <c r="AK23" s="429"/>
      <c r="AL23" s="431"/>
      <c r="AM23" s="97"/>
      <c r="AN23" s="98">
        <f t="shared" si="2"/>
        <v>0</v>
      </c>
      <c r="AO23" s="13"/>
      <c r="AP23" s="13"/>
      <c r="AR23" s="166"/>
      <c r="AS23" s="168"/>
      <c r="BC23" s="166"/>
      <c r="BD23" s="171"/>
      <c r="BG23" t="s">
        <v>209</v>
      </c>
      <c r="BH23">
        <f>+VLOOKUP(X3,BC20:BD23,2,TRUE)</f>
        <v>3022</v>
      </c>
    </row>
    <row r="24" spans="1:60" x14ac:dyDescent="0.25">
      <c r="A24" s="503" t="s">
        <v>31</v>
      </c>
      <c r="B24" s="522" t="s">
        <v>32</v>
      </c>
      <c r="C24" s="523"/>
      <c r="D24" s="523"/>
      <c r="E24" s="523"/>
      <c r="F24" s="523"/>
      <c r="G24" s="523"/>
      <c r="H24" s="523"/>
      <c r="I24" s="523"/>
      <c r="J24" s="523"/>
      <c r="K24" s="524"/>
      <c r="L24" s="483">
        <f>+IF(AR38=BX1,-1*'Retenue sur salaire'!I38,-1*'Retenue sur salaire'!I39)</f>
        <v>0</v>
      </c>
      <c r="M24" s="483"/>
      <c r="N24" s="483"/>
      <c r="O24" s="484"/>
      <c r="P24" s="516" t="e">
        <f>+T24/L24</f>
        <v>#DIV/0!</v>
      </c>
      <c r="Q24" s="517"/>
      <c r="R24" s="517"/>
      <c r="S24" s="518"/>
      <c r="T24" s="519">
        <f>+-1*'Retenue sur salaire'!H26</f>
        <v>0</v>
      </c>
      <c r="U24" s="520"/>
      <c r="V24" s="520"/>
      <c r="W24" s="521"/>
      <c r="X24" s="74"/>
      <c r="Y24" s="74"/>
      <c r="Z24" s="74"/>
      <c r="AA24" s="65"/>
      <c r="AB24" s="428">
        <f>+$X$3+4</f>
        <v>46058</v>
      </c>
      <c r="AC24" s="428">
        <f>+$D$6+4</f>
        <v>4</v>
      </c>
      <c r="AD24" s="429"/>
      <c r="AE24" s="429"/>
      <c r="AF24" s="429"/>
      <c r="AG24" s="430"/>
      <c r="AH24" s="430"/>
      <c r="AI24" s="430"/>
      <c r="AJ24" s="429"/>
      <c r="AK24" s="429"/>
      <c r="AL24" s="431"/>
      <c r="AM24" s="97"/>
      <c r="AN24" s="98">
        <f t="shared" si="2"/>
        <v>0</v>
      </c>
      <c r="AO24" s="13"/>
      <c r="AP24" s="13"/>
      <c r="AR24" s="166"/>
      <c r="AS24" s="168"/>
    </row>
    <row r="25" spans="1:60" x14ac:dyDescent="0.25">
      <c r="A25" s="504"/>
      <c r="B25" s="513" t="s">
        <v>33</v>
      </c>
      <c r="C25" s="514"/>
      <c r="D25" s="514"/>
      <c r="E25" s="514"/>
      <c r="F25" s="514"/>
      <c r="G25" s="514"/>
      <c r="H25" s="514"/>
      <c r="I25" s="514"/>
      <c r="J25" s="514"/>
      <c r="K25" s="515"/>
      <c r="L25" s="483">
        <f>+IF(AR38=BX1,-1*'Retenue sur salaire'!I43,-1*'Retenue sur salaire'!I44)</f>
        <v>0</v>
      </c>
      <c r="M25" s="483"/>
      <c r="N25" s="483"/>
      <c r="O25" s="484"/>
      <c r="P25" s="516" t="e">
        <f>+T25/L25</f>
        <v>#DIV/0!</v>
      </c>
      <c r="Q25" s="517"/>
      <c r="R25" s="517"/>
      <c r="S25" s="518"/>
      <c r="T25" s="519">
        <f>+-1*'Retenue sur salaire'!H29</f>
        <v>0</v>
      </c>
      <c r="U25" s="520"/>
      <c r="V25" s="520"/>
      <c r="W25" s="521"/>
      <c r="X25" s="99"/>
      <c r="Y25" s="99"/>
      <c r="Z25" s="99"/>
      <c r="AA25" s="65"/>
      <c r="AB25" s="428">
        <f>+$X$3+5</f>
        <v>46059</v>
      </c>
      <c r="AC25" s="428">
        <f>+$D$6+5</f>
        <v>5</v>
      </c>
      <c r="AD25" s="429"/>
      <c r="AE25" s="429"/>
      <c r="AF25" s="429"/>
      <c r="AG25" s="430"/>
      <c r="AH25" s="430"/>
      <c r="AI25" s="430"/>
      <c r="AJ25" s="429"/>
      <c r="AK25" s="429"/>
      <c r="AL25" s="431"/>
      <c r="AM25" s="97"/>
      <c r="AN25" s="98">
        <f t="shared" si="2"/>
        <v>0</v>
      </c>
      <c r="AO25" s="13"/>
      <c r="AP25" s="13"/>
    </row>
    <row r="26" spans="1:60" x14ac:dyDescent="0.25">
      <c r="A26" s="497" t="s">
        <v>34</v>
      </c>
      <c r="B26" s="500"/>
      <c r="C26" s="501"/>
      <c r="D26" s="501"/>
      <c r="E26" s="501"/>
      <c r="F26" s="501"/>
      <c r="G26" s="501"/>
      <c r="H26" s="501"/>
      <c r="I26" s="501"/>
      <c r="J26" s="501"/>
      <c r="K26" s="502"/>
      <c r="L26" s="295"/>
      <c r="M26" s="295"/>
      <c r="N26" s="295"/>
      <c r="O26" s="489"/>
      <c r="P26" s="490"/>
      <c r="Q26" s="295"/>
      <c r="R26" s="295"/>
      <c r="S26" s="489"/>
      <c r="T26" s="491"/>
      <c r="U26" s="487"/>
      <c r="V26" s="487"/>
      <c r="W26" s="492"/>
      <c r="AA26" s="65"/>
      <c r="AB26" s="428">
        <f>+$X$3+6</f>
        <v>46060</v>
      </c>
      <c r="AC26" s="428">
        <f>+$D$6+6</f>
        <v>6</v>
      </c>
      <c r="AD26" s="429"/>
      <c r="AE26" s="429"/>
      <c r="AF26" s="429"/>
      <c r="AG26" s="430"/>
      <c r="AH26" s="430"/>
      <c r="AI26" s="430"/>
      <c r="AJ26" s="429"/>
      <c r="AK26" s="429"/>
      <c r="AL26" s="431"/>
      <c r="AM26" s="97"/>
      <c r="AN26" s="98">
        <f t="shared" si="2"/>
        <v>0</v>
      </c>
      <c r="AO26" s="13"/>
      <c r="AP26" s="13"/>
    </row>
    <row r="27" spans="1:60" x14ac:dyDescent="0.25">
      <c r="A27" s="498"/>
      <c r="B27" s="505"/>
      <c r="C27" s="506"/>
      <c r="D27" s="506"/>
      <c r="E27" s="506"/>
      <c r="F27" s="506"/>
      <c r="G27" s="506"/>
      <c r="H27" s="506"/>
      <c r="I27" s="506"/>
      <c r="J27" s="506"/>
      <c r="K27" s="507"/>
      <c r="L27" s="508"/>
      <c r="M27" s="508"/>
      <c r="N27" s="508"/>
      <c r="O27" s="509"/>
      <c r="P27" s="510"/>
      <c r="Q27" s="511"/>
      <c r="R27" s="511"/>
      <c r="S27" s="512"/>
      <c r="T27" s="491"/>
      <c r="U27" s="487"/>
      <c r="V27" s="487"/>
      <c r="W27" s="492"/>
      <c r="X27" s="99"/>
      <c r="Y27" s="99"/>
      <c r="Z27" s="99"/>
      <c r="AA27" s="65"/>
      <c r="AB27" s="428">
        <f>+$X$3+7</f>
        <v>46061</v>
      </c>
      <c r="AC27" s="428">
        <f>+$D$6+7</f>
        <v>7</v>
      </c>
      <c r="AD27" s="429"/>
      <c r="AE27" s="429"/>
      <c r="AF27" s="429"/>
      <c r="AG27" s="430"/>
      <c r="AH27" s="430"/>
      <c r="AI27" s="430"/>
      <c r="AJ27" s="429"/>
      <c r="AK27" s="429"/>
      <c r="AL27" s="431"/>
      <c r="AM27" s="97"/>
      <c r="AN27" s="98">
        <f t="shared" si="2"/>
        <v>0</v>
      </c>
      <c r="AO27" s="13"/>
      <c r="AP27" s="13"/>
    </row>
    <row r="28" spans="1:60" x14ac:dyDescent="0.25">
      <c r="A28" s="498"/>
      <c r="B28" s="480" t="s">
        <v>212</v>
      </c>
      <c r="C28" s="481"/>
      <c r="D28" s="481"/>
      <c r="E28" s="481"/>
      <c r="F28" s="481"/>
      <c r="G28" s="481"/>
      <c r="H28" s="481"/>
      <c r="I28" s="481"/>
      <c r="J28" s="481"/>
      <c r="K28" s="482"/>
      <c r="L28" s="295"/>
      <c r="M28" s="295"/>
      <c r="N28" s="295"/>
      <c r="O28" s="489"/>
      <c r="P28" s="490"/>
      <c r="Q28" s="295"/>
      <c r="R28" s="295"/>
      <c r="S28" s="489"/>
      <c r="T28" s="491"/>
      <c r="U28" s="487"/>
      <c r="V28" s="487"/>
      <c r="W28" s="492"/>
      <c r="X28" s="99"/>
      <c r="Y28" s="99"/>
      <c r="Z28" s="99"/>
      <c r="AA28" s="88"/>
      <c r="AB28" s="428">
        <f>+$X$3+8</f>
        <v>46062</v>
      </c>
      <c r="AC28" s="428">
        <f>+$D$6+8</f>
        <v>8</v>
      </c>
      <c r="AD28" s="429"/>
      <c r="AE28" s="429"/>
      <c r="AF28" s="429"/>
      <c r="AG28" s="430"/>
      <c r="AH28" s="430"/>
      <c r="AI28" s="430"/>
      <c r="AJ28" s="429"/>
      <c r="AK28" s="429"/>
      <c r="AL28" s="431"/>
      <c r="AM28" s="97"/>
      <c r="AN28" s="98">
        <f t="shared" si="2"/>
        <v>0</v>
      </c>
      <c r="AO28" s="13"/>
      <c r="AP28" s="13"/>
    </row>
    <row r="29" spans="1:60" x14ac:dyDescent="0.25">
      <c r="A29" s="498"/>
      <c r="B29" s="480" t="s">
        <v>36</v>
      </c>
      <c r="C29" s="481"/>
      <c r="D29" s="481"/>
      <c r="E29" s="481"/>
      <c r="F29" s="481"/>
      <c r="G29" s="481"/>
      <c r="H29" s="481"/>
      <c r="I29" s="481"/>
      <c r="J29" s="481"/>
      <c r="K29" s="482"/>
      <c r="L29" s="295"/>
      <c r="M29" s="295"/>
      <c r="N29" s="295"/>
      <c r="O29" s="489"/>
      <c r="P29" s="485"/>
      <c r="Q29" s="483"/>
      <c r="R29" s="483"/>
      <c r="S29" s="484"/>
      <c r="T29" s="491"/>
      <c r="U29" s="487"/>
      <c r="V29" s="487"/>
      <c r="W29" s="492"/>
      <c r="X29" s="99"/>
      <c r="Y29" s="99"/>
      <c r="Z29" s="99"/>
      <c r="AB29" s="428">
        <f>+$X$3+9</f>
        <v>46063</v>
      </c>
      <c r="AC29" s="428">
        <f>+$D$6+9</f>
        <v>9</v>
      </c>
      <c r="AD29" s="429"/>
      <c r="AE29" s="429"/>
      <c r="AF29" s="429"/>
      <c r="AG29" s="430"/>
      <c r="AH29" s="430"/>
      <c r="AI29" s="430"/>
      <c r="AJ29" s="429"/>
      <c r="AK29" s="429"/>
      <c r="AL29" s="431"/>
      <c r="AM29" s="97"/>
      <c r="AN29" s="98">
        <f t="shared" si="2"/>
        <v>0</v>
      </c>
      <c r="AO29" s="13"/>
      <c r="AP29" s="13"/>
    </row>
    <row r="30" spans="1:60" x14ac:dyDescent="0.25">
      <c r="A30" s="498"/>
      <c r="B30" s="480" t="s">
        <v>37</v>
      </c>
      <c r="C30" s="481"/>
      <c r="D30" s="481"/>
      <c r="E30" s="481"/>
      <c r="F30" s="481"/>
      <c r="G30" s="481"/>
      <c r="H30" s="481"/>
      <c r="I30" s="481"/>
      <c r="J30" s="481"/>
      <c r="K30" s="482"/>
      <c r="L30" s="483"/>
      <c r="M30" s="483"/>
      <c r="N30" s="483"/>
      <c r="O30" s="484"/>
      <c r="P30" s="485"/>
      <c r="Q30" s="483"/>
      <c r="R30" s="483"/>
      <c r="S30" s="484"/>
      <c r="T30" s="486"/>
      <c r="U30" s="487"/>
      <c r="V30" s="487"/>
      <c r="W30" s="488"/>
      <c r="X30" s="99"/>
      <c r="Y30" s="99"/>
      <c r="Z30" s="99"/>
      <c r="AA30" s="73"/>
      <c r="AB30" s="428">
        <f>+$X$3+10</f>
        <v>46064</v>
      </c>
      <c r="AC30" s="428">
        <f>+$D$6+10</f>
        <v>10</v>
      </c>
      <c r="AD30" s="429"/>
      <c r="AE30" s="429"/>
      <c r="AF30" s="429"/>
      <c r="AG30" s="430"/>
      <c r="AH30" s="430"/>
      <c r="AI30" s="430"/>
      <c r="AJ30" s="429"/>
      <c r="AK30" s="429"/>
      <c r="AL30" s="431"/>
      <c r="AM30" s="97"/>
      <c r="AN30" s="98">
        <f t="shared" si="2"/>
        <v>0</v>
      </c>
      <c r="AO30" s="13"/>
      <c r="AP30" s="13"/>
      <c r="AR30" s="541" t="s">
        <v>124</v>
      </c>
      <c r="AS30" s="541"/>
      <c r="AT30" s="541"/>
      <c r="AU30" s="541"/>
    </row>
    <row r="31" spans="1:60" x14ac:dyDescent="0.25">
      <c r="A31" s="498"/>
      <c r="B31" s="480" t="s">
        <v>38</v>
      </c>
      <c r="C31" s="481"/>
      <c r="D31" s="481"/>
      <c r="E31" s="481"/>
      <c r="F31" s="481"/>
      <c r="G31" s="481"/>
      <c r="H31" s="481"/>
      <c r="I31" s="481"/>
      <c r="J31" s="481"/>
      <c r="K31" s="482"/>
      <c r="L31" s="483"/>
      <c r="M31" s="483"/>
      <c r="N31" s="483"/>
      <c r="O31" s="484"/>
      <c r="P31" s="485"/>
      <c r="Q31" s="483"/>
      <c r="R31" s="483"/>
      <c r="S31" s="484"/>
      <c r="T31" s="486"/>
      <c r="U31" s="487"/>
      <c r="V31" s="487"/>
      <c r="W31" s="488"/>
      <c r="X31" s="99"/>
      <c r="Y31" s="99"/>
      <c r="Z31" s="99"/>
      <c r="AA31" s="65"/>
      <c r="AB31" s="428">
        <f>+$X$3+11</f>
        <v>46065</v>
      </c>
      <c r="AC31" s="428">
        <f>+$D$6+11</f>
        <v>11</v>
      </c>
      <c r="AD31" s="429"/>
      <c r="AE31" s="429"/>
      <c r="AF31" s="429"/>
      <c r="AG31" s="430"/>
      <c r="AH31" s="430"/>
      <c r="AI31" s="430"/>
      <c r="AJ31" s="429"/>
      <c r="AK31" s="429"/>
      <c r="AL31" s="431"/>
      <c r="AM31" s="97"/>
      <c r="AN31" s="98">
        <f t="shared" si="2"/>
        <v>0</v>
      </c>
      <c r="AO31" s="13"/>
      <c r="AP31" s="13"/>
      <c r="AR31" s="541"/>
      <c r="AS31" s="541"/>
      <c r="AT31" s="541"/>
      <c r="AU31" s="541"/>
    </row>
    <row r="32" spans="1:60" x14ac:dyDescent="0.25">
      <c r="A32" s="499"/>
      <c r="B32" s="471" t="s">
        <v>39</v>
      </c>
      <c r="C32" s="472"/>
      <c r="D32" s="472"/>
      <c r="E32" s="472"/>
      <c r="F32" s="472"/>
      <c r="G32" s="472"/>
      <c r="H32" s="472"/>
      <c r="I32" s="472"/>
      <c r="J32" s="472"/>
      <c r="K32" s="473"/>
      <c r="L32" s="474"/>
      <c r="M32" s="474"/>
      <c r="N32" s="474"/>
      <c r="O32" s="475"/>
      <c r="P32" s="476"/>
      <c r="Q32" s="474"/>
      <c r="R32" s="474"/>
      <c r="S32" s="475"/>
      <c r="T32" s="477"/>
      <c r="U32" s="478"/>
      <c r="V32" s="478"/>
      <c r="W32" s="479"/>
      <c r="X32" s="99"/>
      <c r="Y32" s="99"/>
      <c r="Z32" s="99"/>
      <c r="AA32" s="65"/>
      <c r="AB32" s="428">
        <f>+$X$3+12</f>
        <v>46066</v>
      </c>
      <c r="AC32" s="428">
        <f>+$D$6+12</f>
        <v>12</v>
      </c>
      <c r="AD32" s="429"/>
      <c r="AE32" s="429"/>
      <c r="AF32" s="429"/>
      <c r="AG32" s="430"/>
      <c r="AH32" s="430"/>
      <c r="AI32" s="430"/>
      <c r="AJ32" s="429"/>
      <c r="AK32" s="429"/>
      <c r="AL32" s="431"/>
      <c r="AM32" s="97"/>
      <c r="AN32" s="98">
        <f t="shared" si="2"/>
        <v>0</v>
      </c>
      <c r="AO32" s="13"/>
      <c r="AP32" s="13"/>
      <c r="AR32" s="541"/>
      <c r="AS32" s="541"/>
      <c r="AT32" s="541"/>
      <c r="AU32" s="541"/>
    </row>
    <row r="33" spans="1:47" x14ac:dyDescent="0.25">
      <c r="L33" s="493" t="s">
        <v>40</v>
      </c>
      <c r="M33" s="494"/>
      <c r="N33" s="494"/>
      <c r="O33" s="494"/>
      <c r="P33" s="494"/>
      <c r="Q33" s="494"/>
      <c r="R33" s="494"/>
      <c r="S33" s="495"/>
      <c r="T33" s="496">
        <f>+SUM(T19:W32)</f>
        <v>0</v>
      </c>
      <c r="U33" s="276"/>
      <c r="V33" s="276"/>
      <c r="W33" s="277"/>
      <c r="X33" s="100"/>
      <c r="Y33" s="100"/>
      <c r="Z33" s="100"/>
      <c r="AA33" s="65"/>
      <c r="AB33" s="428">
        <f>+$X$3+13</f>
        <v>46067</v>
      </c>
      <c r="AC33" s="428">
        <f>+$D$6+13</f>
        <v>13</v>
      </c>
      <c r="AD33" s="429"/>
      <c r="AE33" s="429"/>
      <c r="AF33" s="429"/>
      <c r="AG33" s="430"/>
      <c r="AH33" s="430"/>
      <c r="AI33" s="430"/>
      <c r="AJ33" s="429"/>
      <c r="AK33" s="429"/>
      <c r="AL33" s="431"/>
      <c r="AM33" s="97"/>
      <c r="AN33" s="98">
        <f t="shared" si="2"/>
        <v>0</v>
      </c>
      <c r="AO33" s="13"/>
      <c r="AP33" s="13"/>
      <c r="AR33" s="169" t="s">
        <v>109</v>
      </c>
      <c r="AS33" s="155"/>
      <c r="AT33" s="155"/>
      <c r="AU33" s="155"/>
    </row>
    <row r="34" spans="1:47" x14ac:dyDescent="0.25">
      <c r="J34" s="61"/>
      <c r="K34" s="61"/>
      <c r="L34" s="61"/>
      <c r="M34" s="61"/>
      <c r="N34" s="61"/>
      <c r="O34" s="101"/>
      <c r="P34" s="100"/>
      <c r="Q34" s="100"/>
      <c r="R34" s="100"/>
      <c r="S34" s="100"/>
      <c r="T34" s="100"/>
      <c r="U34" s="100"/>
      <c r="V34" s="100"/>
      <c r="W34" s="100"/>
      <c r="X34" s="100"/>
      <c r="Y34" s="100"/>
      <c r="Z34" s="100"/>
      <c r="AB34" s="428">
        <f>+$X$3+14</f>
        <v>46068</v>
      </c>
      <c r="AC34" s="428">
        <f>+$D$6+13</f>
        <v>13</v>
      </c>
      <c r="AD34" s="429"/>
      <c r="AE34" s="429"/>
      <c r="AF34" s="429"/>
      <c r="AG34" s="430"/>
      <c r="AH34" s="430"/>
      <c r="AI34" s="430"/>
      <c r="AJ34" s="429"/>
      <c r="AK34" s="429"/>
      <c r="AL34" s="431"/>
      <c r="AM34" s="97"/>
      <c r="AN34" s="98">
        <f t="shared" si="2"/>
        <v>0</v>
      </c>
      <c r="AO34" s="13"/>
      <c r="AP34" s="13"/>
    </row>
    <row r="35" spans="1:47" x14ac:dyDescent="0.25">
      <c r="H35" s="345" t="s">
        <v>41</v>
      </c>
      <c r="I35" s="346"/>
      <c r="J35" s="346"/>
      <c r="K35" s="346"/>
      <c r="L35" s="346"/>
      <c r="M35" s="346"/>
      <c r="N35" s="346"/>
      <c r="O35" s="346"/>
      <c r="P35" s="347"/>
      <c r="R35" s="466" t="s">
        <v>42</v>
      </c>
      <c r="S35" s="467"/>
      <c r="T35" s="467"/>
      <c r="U35" s="467"/>
      <c r="V35" s="467"/>
      <c r="W35" s="467"/>
      <c r="X35" s="467"/>
      <c r="Y35" s="467"/>
      <c r="Z35" s="468"/>
      <c r="AA35" s="65"/>
      <c r="AB35" s="428">
        <f>+$X$3+15</f>
        <v>46069</v>
      </c>
      <c r="AC35" s="428">
        <f>+$D$6+15</f>
        <v>15</v>
      </c>
      <c r="AD35" s="429"/>
      <c r="AE35" s="429"/>
      <c r="AF35" s="429"/>
      <c r="AG35" s="430"/>
      <c r="AH35" s="430"/>
      <c r="AI35" s="430"/>
      <c r="AJ35" s="429"/>
      <c r="AK35" s="429"/>
      <c r="AL35" s="431"/>
      <c r="AM35" s="97"/>
      <c r="AN35" s="98">
        <f t="shared" si="2"/>
        <v>0</v>
      </c>
      <c r="AO35" s="13"/>
      <c r="AP35" s="13"/>
    </row>
    <row r="36" spans="1:47" x14ac:dyDescent="0.25">
      <c r="A36" s="456" t="s">
        <v>43</v>
      </c>
      <c r="B36" s="456"/>
      <c r="C36" s="456"/>
      <c r="D36" s="456"/>
      <c r="E36" s="456"/>
      <c r="F36" s="456"/>
      <c r="G36" s="457"/>
      <c r="H36" s="458" t="s">
        <v>22</v>
      </c>
      <c r="I36" s="459"/>
      <c r="J36" s="460"/>
      <c r="K36" s="461" t="s">
        <v>23</v>
      </c>
      <c r="L36" s="459"/>
      <c r="M36" s="460"/>
      <c r="N36" s="461" t="s">
        <v>24</v>
      </c>
      <c r="O36" s="459"/>
      <c r="P36" s="462"/>
      <c r="Q36" s="73"/>
      <c r="R36" s="463" t="s">
        <v>22</v>
      </c>
      <c r="S36" s="464"/>
      <c r="T36" s="465"/>
      <c r="U36" s="463" t="s">
        <v>23</v>
      </c>
      <c r="V36" s="464"/>
      <c r="W36" s="465"/>
      <c r="X36" s="463" t="s">
        <v>24</v>
      </c>
      <c r="Y36" s="464"/>
      <c r="Z36" s="465"/>
      <c r="AA36" s="65"/>
      <c r="AB36" s="428">
        <f>+$X$3+16</f>
        <v>46070</v>
      </c>
      <c r="AC36" s="428">
        <f>+$D$6+16</f>
        <v>16</v>
      </c>
      <c r="AD36" s="429"/>
      <c r="AE36" s="429"/>
      <c r="AF36" s="429"/>
      <c r="AG36" s="430"/>
      <c r="AH36" s="430"/>
      <c r="AI36" s="430"/>
      <c r="AJ36" s="429"/>
      <c r="AK36" s="429"/>
      <c r="AL36" s="431"/>
      <c r="AM36" s="97"/>
      <c r="AN36" s="98">
        <f t="shared" si="2"/>
        <v>0</v>
      </c>
      <c r="AO36" s="13"/>
      <c r="AP36" s="13"/>
    </row>
    <row r="37" spans="1:47" x14ac:dyDescent="0.25">
      <c r="A37" s="438" t="str">
        <f>+Taux_cotisations!A9</f>
        <v>Santé :</v>
      </c>
      <c r="B37" s="439"/>
      <c r="C37" s="439"/>
      <c r="D37" s="439"/>
      <c r="E37" s="439"/>
      <c r="F37" s="439"/>
      <c r="G37" s="440"/>
      <c r="H37" s="441"/>
      <c r="I37" s="442"/>
      <c r="J37" s="443"/>
      <c r="K37" s="444"/>
      <c r="L37" s="445"/>
      <c r="M37" s="446"/>
      <c r="N37" s="447"/>
      <c r="O37" s="448"/>
      <c r="P37" s="449"/>
      <c r="Q37" s="73"/>
      <c r="R37" s="450"/>
      <c r="S37" s="451"/>
      <c r="T37" s="452"/>
      <c r="U37" s="453"/>
      <c r="V37" s="454"/>
      <c r="W37" s="455"/>
      <c r="X37" s="469"/>
      <c r="Y37" s="469"/>
      <c r="Z37" s="470"/>
      <c r="AA37" s="65"/>
      <c r="AB37" s="428">
        <f>+$X$3+17</f>
        <v>46071</v>
      </c>
      <c r="AC37" s="428">
        <f>+$D$6+17</f>
        <v>17</v>
      </c>
      <c r="AD37" s="429"/>
      <c r="AE37" s="429"/>
      <c r="AF37" s="429"/>
      <c r="AG37" s="430"/>
      <c r="AH37" s="430"/>
      <c r="AI37" s="430"/>
      <c r="AJ37" s="429"/>
      <c r="AK37" s="429"/>
      <c r="AL37" s="431"/>
      <c r="AM37" s="97"/>
      <c r="AN37" s="98">
        <f t="shared" si="2"/>
        <v>0</v>
      </c>
      <c r="AO37" s="13"/>
      <c r="AP37" s="13"/>
      <c r="AR37" s="13" t="s">
        <v>176</v>
      </c>
    </row>
    <row r="38" spans="1:47" x14ac:dyDescent="0.25">
      <c r="A38" s="432" t="str">
        <f>+Taux_cotisations!A10</f>
        <v>Séc. Soc. Maladie invalidité</v>
      </c>
      <c r="B38" s="433"/>
      <c r="C38" s="433"/>
      <c r="D38" s="433"/>
      <c r="E38" s="433"/>
      <c r="F38" s="433"/>
      <c r="G38" s="434"/>
      <c r="H38" s="318">
        <f>+T33*INDEX(table_coef_base_salariale,MATCH(A38,Taux_cotisations!$A$75:$A$102,0),MATCH($X$3,Taux_cotisations!$A$75:$M$75,0))</f>
        <v>0</v>
      </c>
      <c r="I38" s="319"/>
      <c r="J38" s="320"/>
      <c r="K38" s="321">
        <f>INDEX(table_taux_salariale,MATCH(A38,Taux_cotisations!$A$6:$A$33,0),MATCH($X$3,Taux_cotisations!$A$6:$M$6,0))</f>
        <v>5.2200000000000003E-2</v>
      </c>
      <c r="L38" s="322"/>
      <c r="M38" s="323"/>
      <c r="N38" s="324">
        <f>ROUND(K38*H38,4)</f>
        <v>0</v>
      </c>
      <c r="O38" s="285"/>
      <c r="P38" s="325"/>
      <c r="Q38" s="74"/>
      <c r="R38" s="326">
        <f>+T33*INDEX(table_coef_base_patronale,MATCH(A38,Taux_cotisations!$A$110:$A$137,0),MATCH($X$3,Taux_cotisations!$A$110:$M$110,0))</f>
        <v>0</v>
      </c>
      <c r="S38" s="327"/>
      <c r="T38" s="328"/>
      <c r="U38" s="300">
        <f>INDEX(table_taux_patronales,MATCH(A38,Taux_cotisations!$A$39:$A$66,0),MATCH($X$3,Taux_cotisations!$A$39:$M$39,0))</f>
        <v>5.8000000000000003E-2</v>
      </c>
      <c r="V38" s="301"/>
      <c r="W38" s="302"/>
      <c r="X38" s="303">
        <f>ROUND(U38*R38,2)</f>
        <v>0</v>
      </c>
      <c r="Y38" s="304"/>
      <c r="Z38" s="304"/>
      <c r="AA38" s="65"/>
      <c r="AB38" s="428">
        <f>+$X$3+18</f>
        <v>46072</v>
      </c>
      <c r="AC38" s="428">
        <f>+$D$6+18</f>
        <v>18</v>
      </c>
      <c r="AD38" s="429"/>
      <c r="AE38" s="429"/>
      <c r="AF38" s="429"/>
      <c r="AG38" s="430"/>
      <c r="AH38" s="430"/>
      <c r="AI38" s="430"/>
      <c r="AJ38" s="429"/>
      <c r="AK38" s="429"/>
      <c r="AL38" s="431"/>
      <c r="AM38" s="97"/>
      <c r="AN38" s="98">
        <f t="shared" si="2"/>
        <v>0</v>
      </c>
      <c r="AO38" s="13"/>
      <c r="AP38" s="13"/>
      <c r="AR38" s="588" t="s">
        <v>178</v>
      </c>
      <c r="AS38" s="588"/>
    </row>
    <row r="39" spans="1:47" x14ac:dyDescent="0.25">
      <c r="A39" s="432" t="str">
        <f>+Taux_cotisations!A11</f>
        <v>Prévoyance T1</v>
      </c>
      <c r="B39" s="433"/>
      <c r="C39" s="433"/>
      <c r="D39" s="433"/>
      <c r="E39" s="433"/>
      <c r="F39" s="433"/>
      <c r="G39" s="434"/>
      <c r="H39" s="318">
        <f>IF(AND(T33&gt;=BH23,T33&gt;0),BH23*INDEX(table_coef_base_salariale,MATCH(A39,Taux_cotisations!$A$75:$A$102,0),MATCH($X$3,Taux_cotisations!$A$75:$M$75,0)),+T33*INDEX(table_coef_base_salariale,MATCH(A39,Taux_cotisations!$A$75:$A$102,0),MATCH($X$3,Taux_cotisations!$A$75:$M$75,0)))</f>
        <v>0</v>
      </c>
      <c r="I39" s="319"/>
      <c r="J39" s="320"/>
      <c r="K39" s="321">
        <f>INDEX(table_taux_salariale,MATCH(A39,Taux_cotisations!$A$6:$A$33,0),MATCH($X$3,Taux_cotisations!$A$6:$M$6,0))</f>
        <v>1.04E-2</v>
      </c>
      <c r="L39" s="322"/>
      <c r="M39" s="323"/>
      <c r="N39" s="324">
        <f>ROUND(K39*H39,4)</f>
        <v>0</v>
      </c>
      <c r="O39" s="285"/>
      <c r="P39" s="325"/>
      <c r="Q39" s="74"/>
      <c r="R39" s="326">
        <f>IF(AND(T33&gt;=BH23,T33&gt;0),BH23*INDEX(table_coef_base_patronale,MATCH(A39,Taux_cotisations!$A$110:$A$137,0),MATCH($X$3,Taux_cotisations!$A$110:$M$110,0)),+T33*INDEX(table_coef_base_patronale,MATCH(A39,Taux_cotisations!$A$110:$A$137,0),MATCH($X$3,Taux_cotisations!$A$110:$M$110,0)))</f>
        <v>0</v>
      </c>
      <c r="S39" s="327"/>
      <c r="T39" s="328"/>
      <c r="U39" s="300">
        <f>INDEX(table_taux_patronales,MATCH(A39,Taux_cotisations!$A$39:$A$66,0),MATCH($X$3,Taux_cotisations!$A$39:$M$39,0))</f>
        <v>2.4500000000000001E-2</v>
      </c>
      <c r="V39" s="301"/>
      <c r="W39" s="302"/>
      <c r="X39" s="303">
        <f>ROUND(U39*R39,2)</f>
        <v>0</v>
      </c>
      <c r="Y39" s="304"/>
      <c r="Z39" s="304"/>
      <c r="AA39" s="65"/>
      <c r="AB39" s="428">
        <f>+$X$3+19</f>
        <v>46073</v>
      </c>
      <c r="AC39" s="428">
        <f>+$D$6+19</f>
        <v>19</v>
      </c>
      <c r="AD39" s="429"/>
      <c r="AE39" s="429"/>
      <c r="AF39" s="429"/>
      <c r="AG39" s="430"/>
      <c r="AH39" s="430"/>
      <c r="AI39" s="430"/>
      <c r="AJ39" s="429"/>
      <c r="AK39" s="429"/>
      <c r="AL39" s="431"/>
      <c r="AM39" s="97"/>
      <c r="AN39" s="98">
        <f t="shared" si="2"/>
        <v>0</v>
      </c>
      <c r="AO39" s="13"/>
      <c r="AP39" s="13"/>
    </row>
    <row r="40" spans="1:47" x14ac:dyDescent="0.25">
      <c r="A40" s="432" t="str">
        <f>+Taux_cotisations!A12</f>
        <v>Prévoyance T2</v>
      </c>
      <c r="B40" s="433"/>
      <c r="C40" s="433"/>
      <c r="D40" s="433"/>
      <c r="E40" s="433"/>
      <c r="F40" s="433"/>
      <c r="G40" s="434"/>
      <c r="H40" s="318"/>
      <c r="I40" s="319"/>
      <c r="J40" s="320"/>
      <c r="K40" s="321"/>
      <c r="L40" s="322"/>
      <c r="M40" s="323"/>
      <c r="N40" s="324"/>
      <c r="O40" s="285"/>
      <c r="P40" s="325"/>
      <c r="Q40" s="74"/>
      <c r="R40" s="326">
        <f>+IF(AND(T33&gt;0,T33&gt;BH23),(T33-BH23)*INDEX(table_coef_base_patronale,MATCH(A40,Taux_cotisations!$A$110:$A$137,0),MATCH($X$3,Taux_cotisations!$A$110:$M$110,0)),0)</f>
        <v>0</v>
      </c>
      <c r="S40" s="327"/>
      <c r="T40" s="328"/>
      <c r="U40" s="300">
        <f>IF(R40=0,0,INDEX(table_taux_patronales,MATCH(A40,Taux_cotisations!$A$39:$A$66,0),MATCH($X$3,Taux_cotisations!$A$39:$M$39,0)))</f>
        <v>0</v>
      </c>
      <c r="V40" s="301"/>
      <c r="W40" s="302"/>
      <c r="X40" s="303">
        <f>ROUND(U40*R40,2)</f>
        <v>0</v>
      </c>
      <c r="Y40" s="304"/>
      <c r="Z40" s="304"/>
      <c r="AA40" s="65"/>
      <c r="AB40" s="428">
        <f>+$X$3+20</f>
        <v>46074</v>
      </c>
      <c r="AC40" s="428">
        <f>+$D$6+20</f>
        <v>20</v>
      </c>
      <c r="AD40" s="429"/>
      <c r="AE40" s="429"/>
      <c r="AF40" s="429"/>
      <c r="AG40" s="430"/>
      <c r="AH40" s="430"/>
      <c r="AI40" s="430"/>
      <c r="AJ40" s="429"/>
      <c r="AK40" s="429"/>
      <c r="AL40" s="431"/>
      <c r="AM40" s="97"/>
      <c r="AN40" s="98">
        <f t="shared" si="2"/>
        <v>0</v>
      </c>
      <c r="AO40" s="13"/>
      <c r="AP40" s="13"/>
    </row>
    <row r="41" spans="1:47" x14ac:dyDescent="0.25">
      <c r="H41" s="211"/>
      <c r="J41" s="212"/>
      <c r="K41" s="211"/>
      <c r="M41" s="212"/>
      <c r="N41" s="324"/>
      <c r="O41" s="285"/>
      <c r="P41" s="325"/>
      <c r="R41" s="326"/>
      <c r="S41" s="327"/>
      <c r="T41" s="328"/>
      <c r="U41" s="300"/>
      <c r="V41" s="301"/>
      <c r="W41" s="302"/>
      <c r="X41" s="303"/>
      <c r="Y41" s="304"/>
      <c r="Z41" s="304"/>
      <c r="AA41" s="101"/>
      <c r="AB41" s="428">
        <f>+$X$3+21</f>
        <v>46075</v>
      </c>
      <c r="AC41" s="428">
        <f>+$D$6+21</f>
        <v>21</v>
      </c>
      <c r="AD41" s="429"/>
      <c r="AE41" s="429"/>
      <c r="AF41" s="429"/>
      <c r="AG41" s="430"/>
      <c r="AH41" s="430"/>
      <c r="AI41" s="430"/>
      <c r="AJ41" s="429"/>
      <c r="AK41" s="429"/>
      <c r="AL41" s="431"/>
      <c r="AM41" s="97"/>
      <c r="AN41" s="98">
        <f t="shared" si="2"/>
        <v>0</v>
      </c>
      <c r="AO41" s="13"/>
      <c r="AP41" s="13"/>
    </row>
    <row r="42" spans="1:47" x14ac:dyDescent="0.25">
      <c r="A42" s="435" t="str">
        <f>+Taux_cotisations!A13</f>
        <v>Accident du travail :</v>
      </c>
      <c r="B42" s="436"/>
      <c r="C42" s="436"/>
      <c r="D42" s="436"/>
      <c r="E42" s="436"/>
      <c r="F42" s="436"/>
      <c r="G42" s="437"/>
      <c r="H42" s="318"/>
      <c r="I42" s="319"/>
      <c r="J42" s="320"/>
      <c r="K42" s="321"/>
      <c r="L42" s="322"/>
      <c r="M42" s="323"/>
      <c r="N42" s="324"/>
      <c r="O42" s="285"/>
      <c r="P42" s="325"/>
      <c r="R42" s="326">
        <f>+T33*INDEX(table_coef_base_patronale,MATCH(A42,Taux_cotisations!$A$110:$A$137,0),MATCH($X$3,Taux_cotisations!$A$110:$M$110,0))</f>
        <v>0</v>
      </c>
      <c r="S42" s="327"/>
      <c r="T42" s="328"/>
      <c r="U42" s="300">
        <f>INDEX(table_taux_patronales,MATCH(A42,Taux_cotisations!$A$39:$A$66,0),MATCH($X$3,Taux_cotisations!$A$39:$M$39,0))</f>
        <v>9.1000000000000004E-3</v>
      </c>
      <c r="V42" s="301"/>
      <c r="W42" s="302"/>
      <c r="X42" s="303">
        <f>ROUND(U42*R42,2)</f>
        <v>0</v>
      </c>
      <c r="Y42" s="304"/>
      <c r="Z42" s="304"/>
      <c r="AA42" s="101"/>
      <c r="AB42" s="428">
        <f>+$X$3+22</f>
        <v>46076</v>
      </c>
      <c r="AC42" s="428">
        <f>+$D$6+22</f>
        <v>22</v>
      </c>
      <c r="AD42" s="429"/>
      <c r="AE42" s="429"/>
      <c r="AF42" s="429"/>
      <c r="AG42" s="430"/>
      <c r="AH42" s="430"/>
      <c r="AI42" s="430"/>
      <c r="AJ42" s="429"/>
      <c r="AK42" s="429"/>
      <c r="AL42" s="431"/>
      <c r="AM42" s="97"/>
      <c r="AN42" s="98">
        <f t="shared" si="2"/>
        <v>0</v>
      </c>
      <c r="AO42" s="13"/>
      <c r="AP42" s="13"/>
    </row>
    <row r="43" spans="1:47" x14ac:dyDescent="0.25">
      <c r="H43" s="211"/>
      <c r="J43" s="212"/>
      <c r="K43" s="321"/>
      <c r="L43" s="322"/>
      <c r="M43" s="323"/>
      <c r="N43" s="324"/>
      <c r="O43" s="285"/>
      <c r="P43" s="325"/>
      <c r="R43" s="326"/>
      <c r="S43" s="327"/>
      <c r="T43" s="328"/>
      <c r="U43" s="300"/>
      <c r="V43" s="301"/>
      <c r="W43" s="302"/>
      <c r="X43" s="303"/>
      <c r="Y43" s="304"/>
      <c r="Z43" s="304"/>
      <c r="AB43" s="428">
        <f>+$X$3+23</f>
        <v>46077</v>
      </c>
      <c r="AC43" s="428">
        <f>+$D$6+23</f>
        <v>23</v>
      </c>
      <c r="AD43" s="429"/>
      <c r="AE43" s="429"/>
      <c r="AF43" s="429"/>
      <c r="AG43" s="430"/>
      <c r="AH43" s="430"/>
      <c r="AI43" s="430"/>
      <c r="AJ43" s="429"/>
      <c r="AK43" s="429"/>
      <c r="AL43" s="431"/>
      <c r="AM43" s="97"/>
      <c r="AN43" s="98">
        <f t="shared" si="2"/>
        <v>0</v>
      </c>
      <c r="AO43" s="13"/>
      <c r="AP43" s="13"/>
    </row>
    <row r="44" spans="1:47" x14ac:dyDescent="0.25">
      <c r="A44" s="435" t="str">
        <f>+Taux_cotisations!A14</f>
        <v>Retraite :</v>
      </c>
      <c r="B44" s="436"/>
      <c r="C44" s="436"/>
      <c r="D44" s="436"/>
      <c r="E44" s="436"/>
      <c r="F44" s="436"/>
      <c r="G44" s="437"/>
      <c r="H44" s="318"/>
      <c r="I44" s="319"/>
      <c r="J44" s="320"/>
      <c r="K44" s="321"/>
      <c r="L44" s="322"/>
      <c r="M44" s="323"/>
      <c r="N44" s="324"/>
      <c r="O44" s="285"/>
      <c r="P44" s="325"/>
      <c r="Q44" s="74"/>
      <c r="R44" s="326"/>
      <c r="S44" s="327"/>
      <c r="T44" s="328"/>
      <c r="U44" s="300"/>
      <c r="V44" s="301"/>
      <c r="W44" s="302"/>
      <c r="X44" s="303"/>
      <c r="Y44" s="304"/>
      <c r="Z44" s="304"/>
      <c r="AA44" s="73"/>
      <c r="AB44" s="428">
        <f>+$X$3+24</f>
        <v>46078</v>
      </c>
      <c r="AC44" s="428">
        <f>+$D$6+24</f>
        <v>24</v>
      </c>
      <c r="AD44" s="429"/>
      <c r="AE44" s="429"/>
      <c r="AF44" s="429"/>
      <c r="AG44" s="430"/>
      <c r="AH44" s="430"/>
      <c r="AI44" s="430"/>
      <c r="AJ44" s="429"/>
      <c r="AK44" s="429"/>
      <c r="AL44" s="431"/>
      <c r="AM44" s="97"/>
      <c r="AN44" s="98">
        <f t="shared" si="2"/>
        <v>0</v>
      </c>
      <c r="AO44" s="13"/>
      <c r="AP44" s="13"/>
    </row>
    <row r="45" spans="1:47" x14ac:dyDescent="0.25">
      <c r="A45" s="432" t="str">
        <f>+Taux_cotisations!A15</f>
        <v>Retraite SS T1</v>
      </c>
      <c r="B45" s="433"/>
      <c r="C45" s="433"/>
      <c r="D45" s="433"/>
      <c r="E45" s="433"/>
      <c r="F45" s="433"/>
      <c r="G45" s="434"/>
      <c r="H45" s="318">
        <f>IF(AND(T33&gt;=BH23,T33&gt;0),BH23*INDEX(table_coef_base_salariale,MATCH(A45,Taux_cotisations!$A$75:$A$102,0),MATCH($X$3,Taux_cotisations!$A$75:$M$75,0)),+T33*INDEX(table_coef_base_salariale,MATCH(A45,Taux_cotisations!$A$75:$A$102,0),MATCH($X$3,Taux_cotisations!$A$75:$M$75,0)))</f>
        <v>0</v>
      </c>
      <c r="I45" s="319"/>
      <c r="J45" s="320"/>
      <c r="K45" s="321">
        <f>INDEX(table_taux_salariale,MATCH(A45,Taux_cotisations!$A$6:$A$33,0),MATCH($X$3,Taux_cotisations!$A$6:$M$6,0))</f>
        <v>5.5399999999999998E-2</v>
      </c>
      <c r="L45" s="322"/>
      <c r="M45" s="323"/>
      <c r="N45" s="324">
        <f t="shared" ref="N45:N49" si="3">ROUND(K45*H45,4)</f>
        <v>0</v>
      </c>
      <c r="O45" s="285"/>
      <c r="P45" s="325"/>
      <c r="Q45" s="74"/>
      <c r="R45" s="326">
        <f>IF(AND(T33&gt;=BH23,T33&gt;0),BH23*INDEX(table_coef_base_patronale,MATCH(A45,Taux_cotisations!$A$110:$A$137,0),MATCH($X$3,Taux_cotisations!$A$110:$M$110,0)),+T33*INDEX(table_coef_base_patronale,MATCH(A45,Taux_cotisations!$A$110:$A$137,0),MATCH($X$3,Taux_cotisations!$A$110:$M$110,0)))</f>
        <v>0</v>
      </c>
      <c r="S45" s="327"/>
      <c r="T45" s="328"/>
      <c r="U45" s="300">
        <f>INDEX(table_taux_patronales,MATCH(A45,Taux_cotisations!$A$39:$A$66,0),MATCH($X$3,Taux_cotisations!$A$39:$M$39,0))</f>
        <v>9.9000000000000005E-2</v>
      </c>
      <c r="V45" s="301"/>
      <c r="W45" s="302"/>
      <c r="X45" s="303">
        <f>ROUND(U45*R45,2)</f>
        <v>0</v>
      </c>
      <c r="Y45" s="304"/>
      <c r="Z45" s="304"/>
      <c r="AA45" s="102"/>
      <c r="AB45" s="428">
        <f>+$X$3+25</f>
        <v>46079</v>
      </c>
      <c r="AC45" s="428">
        <f>+$D$6+25</f>
        <v>25</v>
      </c>
      <c r="AD45" s="429"/>
      <c r="AE45" s="429"/>
      <c r="AF45" s="429"/>
      <c r="AG45" s="430"/>
      <c r="AH45" s="430"/>
      <c r="AI45" s="430"/>
      <c r="AJ45" s="429"/>
      <c r="AK45" s="429"/>
      <c r="AL45" s="431"/>
      <c r="AM45" s="97"/>
      <c r="AN45" s="98">
        <f t="shared" si="2"/>
        <v>0</v>
      </c>
      <c r="AO45" s="13"/>
      <c r="AP45" s="13"/>
    </row>
    <row r="46" spans="1:47" x14ac:dyDescent="0.25">
      <c r="A46" s="432"/>
      <c r="B46" s="433"/>
      <c r="C46" s="433"/>
      <c r="D46" s="433"/>
      <c r="E46" s="433"/>
      <c r="F46" s="433"/>
      <c r="G46" s="434"/>
      <c r="H46" s="318"/>
      <c r="I46" s="319"/>
      <c r="J46" s="320"/>
      <c r="K46" s="321"/>
      <c r="L46" s="322"/>
      <c r="M46" s="323"/>
      <c r="N46" s="324"/>
      <c r="O46" s="285"/>
      <c r="P46" s="325"/>
      <c r="Q46" s="74"/>
      <c r="R46" s="326"/>
      <c r="S46" s="327"/>
      <c r="T46" s="328"/>
      <c r="U46" s="300"/>
      <c r="V46" s="301"/>
      <c r="W46" s="302"/>
      <c r="X46" s="303"/>
      <c r="Y46" s="304"/>
      <c r="Z46" s="304"/>
      <c r="AA46" s="102"/>
      <c r="AB46" s="428">
        <f>+$X$3+26</f>
        <v>46080</v>
      </c>
      <c r="AC46" s="428">
        <f>+$D$6+26</f>
        <v>26</v>
      </c>
      <c r="AD46" s="429"/>
      <c r="AE46" s="429"/>
      <c r="AF46" s="429"/>
      <c r="AG46" s="430"/>
      <c r="AH46" s="430"/>
      <c r="AI46" s="430"/>
      <c r="AJ46" s="429"/>
      <c r="AK46" s="429"/>
      <c r="AL46" s="431"/>
      <c r="AM46" s="97"/>
      <c r="AN46" s="98">
        <f t="shared" si="2"/>
        <v>0</v>
      </c>
      <c r="AO46" s="13"/>
      <c r="AP46" s="13"/>
    </row>
    <row r="47" spans="1:47" x14ac:dyDescent="0.25">
      <c r="A47" s="202" t="str">
        <f>+Taux_cotisations!A24</f>
        <v>Famille :</v>
      </c>
      <c r="B47" s="203"/>
      <c r="C47" s="203"/>
      <c r="D47" s="203"/>
      <c r="E47" s="203"/>
      <c r="F47" s="203"/>
      <c r="G47" s="203"/>
      <c r="H47" s="318"/>
      <c r="I47" s="319"/>
      <c r="J47" s="320"/>
      <c r="K47" s="321"/>
      <c r="L47" s="322"/>
      <c r="M47" s="323"/>
      <c r="N47" s="324"/>
      <c r="O47" s="285"/>
      <c r="P47" s="325"/>
      <c r="Q47" s="74"/>
      <c r="R47" s="326"/>
      <c r="S47" s="327"/>
      <c r="T47" s="328"/>
      <c r="U47" s="300"/>
      <c r="V47" s="301"/>
      <c r="W47" s="302"/>
      <c r="X47" s="303"/>
      <c r="Y47" s="304"/>
      <c r="Z47" s="304"/>
      <c r="AA47" s="102"/>
      <c r="AB47" s="428">
        <f>+$X$3+27</f>
        <v>46081</v>
      </c>
      <c r="AC47" s="428">
        <f>+$D$6+26</f>
        <v>26</v>
      </c>
      <c r="AD47" s="429"/>
      <c r="AE47" s="429"/>
      <c r="AF47" s="429"/>
      <c r="AG47" s="430"/>
      <c r="AH47" s="430"/>
      <c r="AI47" s="430"/>
      <c r="AJ47" s="429"/>
      <c r="AK47" s="429"/>
      <c r="AL47" s="431"/>
      <c r="AM47" s="97"/>
      <c r="AN47" s="98">
        <f t="shared" si="2"/>
        <v>0</v>
      </c>
      <c r="AO47" s="13"/>
      <c r="AP47" s="13"/>
    </row>
    <row r="48" spans="1:47" x14ac:dyDescent="0.25">
      <c r="A48" s="204" t="str">
        <f>+Taux_cotisations!A25</f>
        <v>Famille</v>
      </c>
      <c r="B48" s="205"/>
      <c r="C48" s="205"/>
      <c r="D48" s="205"/>
      <c r="E48" s="205"/>
      <c r="F48" s="205"/>
      <c r="G48" s="205"/>
      <c r="H48" s="318"/>
      <c r="I48" s="319"/>
      <c r="J48" s="320"/>
      <c r="K48" s="321"/>
      <c r="L48" s="322"/>
      <c r="M48" s="323"/>
      <c r="N48" s="324"/>
      <c r="O48" s="285"/>
      <c r="P48" s="325"/>
      <c r="Q48" s="75"/>
      <c r="R48" s="326">
        <f>+T33*INDEX(table_coef_base_patronale,MATCH(A48,Taux_cotisations!$A$110:$A$137,0),MATCH($X$3,Taux_cotisations!$A$110:$M$110,0))</f>
        <v>0</v>
      </c>
      <c r="S48" s="327"/>
      <c r="T48" s="328"/>
      <c r="U48" s="300">
        <f>INDEX(table_taux_patronales,MATCH(A48,Taux_cotisations!$A$39:$A$66,0),MATCH($X$3,Taux_cotisations!$A$39:$M$39,0))</f>
        <v>5.3999999999999999E-2</v>
      </c>
      <c r="V48" s="301"/>
      <c r="W48" s="302"/>
      <c r="X48" s="303">
        <f>ROUND(U48*R48,2)</f>
        <v>0</v>
      </c>
      <c r="Y48" s="304"/>
      <c r="Z48" s="304"/>
      <c r="AA48" s="102"/>
      <c r="AB48" s="428" t="str">
        <f>IF(MONTH($X$3+28)&lt;&gt;MONTH($X$3),"",($X$3+28))</f>
        <v/>
      </c>
      <c r="AC48" s="428">
        <f>+$D$6+26</f>
        <v>26</v>
      </c>
      <c r="AD48" s="429"/>
      <c r="AE48" s="429"/>
      <c r="AF48" s="429"/>
      <c r="AG48" s="430"/>
      <c r="AH48" s="430"/>
      <c r="AI48" s="430"/>
      <c r="AJ48" s="429"/>
      <c r="AK48" s="429"/>
      <c r="AL48" s="431"/>
      <c r="AM48" s="97"/>
      <c r="AN48" s="98">
        <f t="shared" si="2"/>
        <v>0</v>
      </c>
      <c r="AO48" s="13"/>
      <c r="AP48" s="13"/>
    </row>
    <row r="49" spans="1:42" x14ac:dyDescent="0.25">
      <c r="A49" s="432"/>
      <c r="B49" s="433"/>
      <c r="C49" s="433"/>
      <c r="D49" s="433"/>
      <c r="E49" s="433"/>
      <c r="F49" s="433"/>
      <c r="G49" s="434"/>
      <c r="H49" s="318">
        <f>+IF(AND(T33&gt;0,T33&gt;BH23),(T33-BH23)*INDEX(table_coef_base_salariale,MATCH(A49,Taux_cotisations!$A$75:$A$102,0),MATCH($X$3,Taux_cotisations!$A$75:$M$75,0)),0)</f>
        <v>0</v>
      </c>
      <c r="I49" s="319"/>
      <c r="J49" s="320"/>
      <c r="K49" s="321">
        <f>IF(H49=0,0,INDEX(table_taux_salariale,MATCH(A49,Taux_cotisations!$A$6:$A$33,0),MATCH($X$3,Taux_cotisations!$A$6:$M$6,0)))</f>
        <v>0</v>
      </c>
      <c r="L49" s="322"/>
      <c r="M49" s="323"/>
      <c r="N49" s="324">
        <f t="shared" si="3"/>
        <v>0</v>
      </c>
      <c r="O49" s="285"/>
      <c r="P49" s="325"/>
      <c r="Q49" s="74"/>
      <c r="R49" s="326"/>
      <c r="S49" s="327"/>
      <c r="T49" s="328"/>
      <c r="U49" s="300"/>
      <c r="V49" s="301"/>
      <c r="W49" s="302"/>
      <c r="X49" s="303"/>
      <c r="Y49" s="304"/>
      <c r="Z49" s="304"/>
      <c r="AA49" s="102"/>
      <c r="AB49" s="428" t="str">
        <f>IF(MONTH($X$3+29)&lt;&gt;MONTH(X3),"",($X$3+29))</f>
        <v/>
      </c>
      <c r="AC49" s="428">
        <f>+$D$6+26</f>
        <v>26</v>
      </c>
      <c r="AD49" s="429"/>
      <c r="AE49" s="429"/>
      <c r="AF49" s="429"/>
      <c r="AG49" s="430"/>
      <c r="AH49" s="430"/>
      <c r="AI49" s="430"/>
      <c r="AJ49" s="429"/>
      <c r="AK49" s="429"/>
      <c r="AL49" s="431"/>
      <c r="AM49" s="97"/>
      <c r="AN49" s="98">
        <f t="shared" si="2"/>
        <v>0</v>
      </c>
      <c r="AO49" s="13"/>
      <c r="AP49" s="13"/>
    </row>
    <row r="50" spans="1:42" x14ac:dyDescent="0.25">
      <c r="A50" s="202" t="str">
        <f>+Taux_cotisations!A26</f>
        <v>Assurance Chômage :</v>
      </c>
      <c r="B50" s="203"/>
      <c r="C50" s="203"/>
      <c r="D50" s="203"/>
      <c r="E50" s="203"/>
      <c r="F50" s="203"/>
      <c r="G50" s="203"/>
      <c r="H50" s="318"/>
      <c r="I50" s="319"/>
      <c r="J50" s="320"/>
      <c r="K50" s="321"/>
      <c r="L50" s="322"/>
      <c r="M50" s="323"/>
      <c r="N50" s="324"/>
      <c r="O50" s="285"/>
      <c r="P50" s="325"/>
      <c r="Q50" s="74"/>
      <c r="R50" s="326">
        <f>+T33*INDEX(table_coef_base_patronale,MATCH(A50,Taux_cotisations!$A$110:$A$137,0),MATCH($X$3,Taux_cotisations!$A$110:$M$110,0))</f>
        <v>0</v>
      </c>
      <c r="S50" s="327"/>
      <c r="T50" s="328"/>
      <c r="U50" s="300">
        <f>INDEX(table_taux_patronales,MATCH(A50,Taux_cotisations!$A$39:$A$66,0),MATCH($X$3,Taux_cotisations!$A$39:$M$39,0))</f>
        <v>2.8000000000000001E-2</v>
      </c>
      <c r="V50" s="301"/>
      <c r="W50" s="302"/>
      <c r="X50" s="303">
        <f>ROUND(U50*R50,2)</f>
        <v>0</v>
      </c>
      <c r="Y50" s="304"/>
      <c r="Z50" s="304"/>
      <c r="AA50" s="102"/>
      <c r="AB50" s="428" t="str">
        <f>IF(MONTH($X$3+30)&lt;&gt;MONTH(X3),"",($X$3+30))</f>
        <v/>
      </c>
      <c r="AC50" s="428">
        <f>+$D$6+26</f>
        <v>26</v>
      </c>
      <c r="AD50" s="429"/>
      <c r="AE50" s="429"/>
      <c r="AF50" s="429"/>
      <c r="AG50" s="430"/>
      <c r="AH50" s="430"/>
      <c r="AI50" s="430"/>
      <c r="AJ50" s="429"/>
      <c r="AK50" s="429"/>
      <c r="AL50" s="431"/>
      <c r="AM50" s="97"/>
      <c r="AN50" s="98">
        <f t="shared" si="2"/>
        <v>0</v>
      </c>
      <c r="AO50" s="13"/>
      <c r="AP50" s="13"/>
    </row>
    <row r="51" spans="1:42" ht="15.75" thickBot="1" x14ac:dyDescent="0.3">
      <c r="H51" s="318"/>
      <c r="I51" s="319"/>
      <c r="J51" s="320"/>
      <c r="K51" s="321"/>
      <c r="L51" s="322"/>
      <c r="M51" s="323"/>
      <c r="N51" s="324"/>
      <c r="O51" s="285"/>
      <c r="P51" s="325"/>
      <c r="R51" s="326"/>
      <c r="S51" s="327"/>
      <c r="T51" s="328"/>
      <c r="U51" s="300"/>
      <c r="V51" s="301"/>
      <c r="W51" s="302"/>
      <c r="X51" s="303"/>
      <c r="Y51" s="304"/>
      <c r="Z51" s="304"/>
      <c r="AA51" s="102"/>
      <c r="AB51" s="424"/>
      <c r="AC51" s="424"/>
      <c r="AD51" s="425">
        <f>SUM(AD20:AF50)</f>
        <v>0</v>
      </c>
      <c r="AE51" s="425"/>
      <c r="AF51" s="425"/>
      <c r="AG51" s="426">
        <f>SUM(AG20:AI50)</f>
        <v>0</v>
      </c>
      <c r="AH51" s="426"/>
      <c r="AI51" s="426"/>
      <c r="AJ51" s="425">
        <f>SUM(AJ20:AL50)</f>
        <v>0</v>
      </c>
      <c r="AK51" s="425"/>
      <c r="AL51" s="427"/>
      <c r="AM51" s="97"/>
      <c r="AN51" s="13"/>
      <c r="AO51" s="13"/>
      <c r="AP51" s="13"/>
    </row>
    <row r="52" spans="1:42" ht="15.75" thickTop="1" x14ac:dyDescent="0.25">
      <c r="A52" s="202" t="s">
        <v>228</v>
      </c>
      <c r="B52" s="203"/>
      <c r="C52" s="203"/>
      <c r="D52" s="203"/>
      <c r="E52" s="203"/>
      <c r="F52" s="203"/>
      <c r="G52" s="203"/>
      <c r="H52" s="318"/>
      <c r="I52" s="319"/>
      <c r="J52" s="320"/>
      <c r="K52" s="321"/>
      <c r="L52" s="322"/>
      <c r="M52" s="323"/>
      <c r="N52" s="324"/>
      <c r="O52" s="285"/>
      <c r="P52" s="325"/>
      <c r="Q52" s="74"/>
      <c r="R52" s="326">
        <f>+T33*INDEX(table_coef_base_patronale,MATCH(A52,Taux_cotisations!$A$110:$A$137,0),MATCH($X$3,Taux_cotisations!$A$110:$M$110,0))</f>
        <v>0</v>
      </c>
      <c r="S52" s="327"/>
      <c r="T52" s="328"/>
      <c r="U52" s="300">
        <f>INDEX(table_taux_patronales,MATCH(A52,Taux_cotisations!$A$39:$A$66,0),MATCH($X$3,Taux_cotisations!$A$39:$M$39,0))</f>
        <v>2.7E-2</v>
      </c>
      <c r="V52" s="301"/>
      <c r="W52" s="302"/>
      <c r="X52" s="303">
        <f>MIN(ROUND(U52*R52,2),5)</f>
        <v>0</v>
      </c>
      <c r="Y52" s="304"/>
      <c r="Z52" s="304"/>
      <c r="AA52" s="102"/>
      <c r="AB52" s="96"/>
      <c r="AC52" s="96"/>
      <c r="AD52" s="97"/>
      <c r="AE52" s="97"/>
      <c r="AF52" s="97"/>
      <c r="AG52" s="97"/>
      <c r="AH52" s="97"/>
      <c r="AI52" s="97"/>
      <c r="AJ52" s="97"/>
      <c r="AK52" s="97"/>
      <c r="AL52" s="97"/>
      <c r="AM52" s="97"/>
      <c r="AN52" s="97"/>
      <c r="AO52" s="97"/>
    </row>
    <row r="53" spans="1:42" x14ac:dyDescent="0.25">
      <c r="H53" s="318"/>
      <c r="I53" s="319"/>
      <c r="J53" s="320"/>
      <c r="K53" s="321"/>
      <c r="L53" s="322"/>
      <c r="M53" s="323"/>
      <c r="N53" s="324"/>
      <c r="O53" s="285"/>
      <c r="P53" s="325"/>
      <c r="R53" s="326"/>
      <c r="S53" s="327"/>
      <c r="T53" s="328"/>
      <c r="U53" s="300"/>
      <c r="V53" s="301"/>
      <c r="W53" s="302"/>
      <c r="X53" s="303"/>
      <c r="Y53" s="304"/>
      <c r="Z53" s="304"/>
      <c r="AA53" s="102"/>
      <c r="AB53" s="96"/>
      <c r="AC53" s="96"/>
      <c r="AD53" s="97"/>
      <c r="AE53" s="97"/>
      <c r="AF53" s="97"/>
      <c r="AG53" s="97"/>
      <c r="AH53" s="97"/>
      <c r="AI53" s="97"/>
      <c r="AJ53" s="97"/>
      <c r="AK53" s="97"/>
      <c r="AL53" s="97"/>
      <c r="AM53" s="97"/>
      <c r="AN53" s="97"/>
      <c r="AO53" s="97"/>
      <c r="AP53" s="103"/>
    </row>
    <row r="54" spans="1:42" x14ac:dyDescent="0.25">
      <c r="A54" s="202" t="str">
        <f>+Taux_cotisations!A28</f>
        <v>Autres cotisations patronales</v>
      </c>
      <c r="B54" s="203"/>
      <c r="C54" s="203"/>
      <c r="D54" s="203"/>
      <c r="E54" s="203"/>
      <c r="F54" s="203"/>
      <c r="G54" s="203"/>
      <c r="H54" s="318"/>
      <c r="I54" s="319"/>
      <c r="J54" s="320"/>
      <c r="K54" s="321"/>
      <c r="L54" s="322"/>
      <c r="M54" s="323"/>
      <c r="N54" s="324"/>
      <c r="O54" s="285"/>
      <c r="P54" s="325"/>
      <c r="Q54" s="74"/>
      <c r="R54" s="326">
        <f>+T33*INDEX(table_coef_base_patronale,MATCH(A54,Taux_cotisations!$A$110:$A$137,0),MATCH($X$3,Taux_cotisations!$A$110:$M$110,0))</f>
        <v>0</v>
      </c>
      <c r="S54" s="327"/>
      <c r="T54" s="328"/>
      <c r="U54" s="300">
        <f>INDEX(table_taux_patronales,MATCH(A54,Taux_cotisations!$A$39:$A$66,0),MATCH($X$3,Taux_cotisations!$A$39:$M$39,0))</f>
        <v>8.6599999999999993E-3</v>
      </c>
      <c r="V54" s="301"/>
      <c r="W54" s="302"/>
      <c r="X54" s="303">
        <f>ROUND(U54*R54,2)</f>
        <v>0</v>
      </c>
      <c r="Y54" s="304"/>
      <c r="Z54" s="304"/>
      <c r="AA54" s="102"/>
      <c r="AB54" s="96"/>
      <c r="AC54" s="96"/>
      <c r="AD54" s="97"/>
      <c r="AE54" s="97"/>
      <c r="AF54" s="97"/>
      <c r="AG54" s="97"/>
      <c r="AH54" s="97"/>
      <c r="AI54" s="97"/>
      <c r="AJ54" s="97"/>
      <c r="AK54" s="97"/>
      <c r="AL54" s="97"/>
      <c r="AM54" s="97"/>
      <c r="AN54" s="97"/>
      <c r="AO54" s="97"/>
      <c r="AP54" s="103"/>
    </row>
    <row r="55" spans="1:42" x14ac:dyDescent="0.25">
      <c r="H55" s="318"/>
      <c r="I55" s="319"/>
      <c r="J55" s="320"/>
      <c r="K55" s="321"/>
      <c r="L55" s="322"/>
      <c r="M55" s="323"/>
      <c r="N55" s="324"/>
      <c r="O55" s="285"/>
      <c r="P55" s="325"/>
      <c r="R55" s="326"/>
      <c r="S55" s="327"/>
      <c r="T55" s="328"/>
      <c r="U55" s="300"/>
      <c r="V55" s="301"/>
      <c r="W55" s="302"/>
      <c r="X55" s="303"/>
      <c r="Y55" s="304"/>
      <c r="Z55" s="304"/>
      <c r="AA55" s="102"/>
      <c r="AB55" s="96"/>
      <c r="AC55" s="96"/>
      <c r="AD55" s="97"/>
      <c r="AE55" s="97"/>
      <c r="AF55" s="97"/>
      <c r="AG55" s="97"/>
      <c r="AH55" s="97"/>
      <c r="AI55" s="97"/>
      <c r="AJ55" s="97"/>
      <c r="AK55" s="97"/>
      <c r="AL55" s="97"/>
      <c r="AM55" s="97"/>
      <c r="AN55" s="97"/>
      <c r="AO55" s="97"/>
      <c r="AP55" s="103"/>
    </row>
    <row r="56" spans="1:42" x14ac:dyDescent="0.25">
      <c r="A56" s="202" t="str">
        <f>+Taux_cotisations!A29</f>
        <v>Autres cotisations patronales T1</v>
      </c>
      <c r="B56" s="203"/>
      <c r="C56" s="203"/>
      <c r="D56" s="203"/>
      <c r="E56" s="203"/>
      <c r="F56" s="203"/>
      <c r="G56" s="203"/>
      <c r="H56" s="318"/>
      <c r="I56" s="319"/>
      <c r="J56" s="320"/>
      <c r="K56" s="321"/>
      <c r="L56" s="322"/>
      <c r="M56" s="323"/>
      <c r="N56" s="324"/>
      <c r="O56" s="285"/>
      <c r="P56" s="325"/>
      <c r="Q56" s="74"/>
      <c r="R56" s="326">
        <f>IF(AND(T33&gt;=BH23,T33&gt;0),BH23*INDEX(table_coef_base_patronale,MATCH(A56,Taux_cotisations!$A$110:$A$137,0),MATCH($X$3,Taux_cotisations!$A$110:$M$110,0)),+T33*INDEX(table_coef_base_patronale,MATCH(A56,Taux_cotisations!$A$110:$A$137,0),MATCH($X$3,Taux_cotisations!$A$110:$M$110,0)))</f>
        <v>0</v>
      </c>
      <c r="S56" s="327"/>
      <c r="T56" s="328"/>
      <c r="U56" s="300">
        <f>INDEX(table_taux_patronales,MATCH(A56,Taux_cotisations!$A$39:$A$66,0),MATCH($X$3,Taux_cotisations!$A$39:$M$39,0))</f>
        <v>1E-3</v>
      </c>
      <c r="V56" s="301"/>
      <c r="W56" s="302"/>
      <c r="X56" s="303">
        <f>ROUND(U56*R56,2)</f>
        <v>0</v>
      </c>
      <c r="Y56" s="304"/>
      <c r="Z56" s="304"/>
      <c r="AA56" s="102"/>
      <c r="AB56" s="96"/>
      <c r="AC56" s="96"/>
      <c r="AD56" s="97"/>
      <c r="AE56" s="97"/>
      <c r="AF56" s="97"/>
      <c r="AG56" s="97"/>
      <c r="AH56" s="97"/>
      <c r="AI56" s="97"/>
      <c r="AJ56" s="97"/>
      <c r="AK56" s="97"/>
      <c r="AL56" s="97"/>
      <c r="AM56" s="97"/>
      <c r="AN56" s="97"/>
      <c r="AO56" s="97"/>
      <c r="AP56" s="103"/>
    </row>
    <row r="57" spans="1:42" x14ac:dyDescent="0.25">
      <c r="A57" s="261"/>
      <c r="B57" s="262"/>
      <c r="C57" s="262"/>
      <c r="D57" s="262"/>
      <c r="E57" s="262"/>
      <c r="F57" s="262"/>
      <c r="G57" s="262"/>
      <c r="H57" s="263"/>
      <c r="I57" s="264"/>
      <c r="J57" s="265"/>
      <c r="K57" s="266"/>
      <c r="L57" s="267"/>
      <c r="M57" s="268"/>
      <c r="N57" s="263"/>
      <c r="O57" s="264"/>
      <c r="P57" s="265"/>
      <c r="Q57" s="74"/>
      <c r="R57" s="269"/>
      <c r="S57" s="270"/>
      <c r="T57" s="271"/>
      <c r="U57" s="272"/>
      <c r="V57" s="273"/>
      <c r="W57" s="274"/>
      <c r="X57" s="303"/>
      <c r="Y57" s="304"/>
      <c r="Z57" s="304"/>
      <c r="AA57" s="102"/>
      <c r="AB57" s="96"/>
      <c r="AC57" s="96"/>
      <c r="AD57" s="97"/>
      <c r="AE57" s="97"/>
      <c r="AF57" s="97"/>
      <c r="AG57" s="97"/>
      <c r="AH57" s="97"/>
      <c r="AI57" s="97"/>
      <c r="AJ57" s="97"/>
      <c r="AK57" s="97"/>
      <c r="AL57" s="97"/>
      <c r="AM57" s="97"/>
      <c r="AN57" s="97"/>
      <c r="AO57" s="97"/>
      <c r="AP57" s="103"/>
    </row>
    <row r="58" spans="1:42" x14ac:dyDescent="0.25">
      <c r="A58" s="76"/>
      <c r="B58" s="76"/>
      <c r="C58" s="76"/>
      <c r="D58" s="76"/>
      <c r="E58" s="76"/>
      <c r="F58" s="76"/>
      <c r="G58" s="76"/>
      <c r="H58" s="411" t="s">
        <v>55</v>
      </c>
      <c r="I58" s="412"/>
      <c r="J58" s="412"/>
      <c r="K58" s="412"/>
      <c r="L58" s="412"/>
      <c r="M58" s="412"/>
      <c r="N58" s="413">
        <f>SUM(N37:P57)</f>
        <v>0</v>
      </c>
      <c r="O58" s="413"/>
      <c r="P58" s="414"/>
      <c r="Q58" s="77"/>
      <c r="R58" s="415" t="s">
        <v>56</v>
      </c>
      <c r="S58" s="416"/>
      <c r="T58" s="416"/>
      <c r="U58" s="416"/>
      <c r="V58" s="416"/>
      <c r="W58" s="417"/>
      <c r="X58" s="418">
        <f>SUM(X37:Z53)</f>
        <v>0</v>
      </c>
      <c r="Y58" s="419"/>
      <c r="Z58" s="420"/>
      <c r="AA58" s="102"/>
      <c r="AB58" s="96"/>
      <c r="AC58" s="96"/>
      <c r="AD58" s="97"/>
      <c r="AE58" s="97"/>
      <c r="AF58" s="97"/>
      <c r="AG58" s="97"/>
      <c r="AH58" s="97"/>
      <c r="AI58" s="97"/>
      <c r="AJ58" s="97"/>
      <c r="AK58" s="97"/>
      <c r="AL58" s="97"/>
      <c r="AM58" s="97"/>
      <c r="AN58" s="97"/>
      <c r="AO58" s="97"/>
      <c r="AP58" s="103"/>
    </row>
    <row r="59" spans="1:42" x14ac:dyDescent="0.25">
      <c r="A59" s="76"/>
      <c r="B59" s="76"/>
      <c r="C59" s="76"/>
      <c r="D59" s="76"/>
      <c r="E59" s="76"/>
      <c r="F59" s="76"/>
      <c r="G59" s="76"/>
      <c r="H59" s="421" t="s">
        <v>57</v>
      </c>
      <c r="I59" s="421"/>
      <c r="J59" s="421"/>
      <c r="K59" s="421"/>
      <c r="L59" s="421"/>
      <c r="M59" s="421"/>
      <c r="N59" s="422">
        <f>T33-N58</f>
        <v>0</v>
      </c>
      <c r="O59" s="422"/>
      <c r="P59" s="422"/>
      <c r="Q59" s="77"/>
      <c r="R59" s="77"/>
      <c r="S59" s="77"/>
      <c r="T59" s="77"/>
      <c r="U59" s="77"/>
      <c r="V59" s="77"/>
      <c r="W59" s="77"/>
      <c r="X59" s="77"/>
      <c r="Y59" s="77"/>
      <c r="Z59" s="77"/>
      <c r="AA59" s="102"/>
      <c r="AB59" s="96"/>
      <c r="AC59" s="96"/>
      <c r="AD59" s="97"/>
      <c r="AE59" s="97"/>
      <c r="AF59" s="97"/>
      <c r="AG59" s="97"/>
      <c r="AH59" s="97"/>
      <c r="AI59" s="97"/>
      <c r="AJ59" s="97"/>
      <c r="AK59" s="97"/>
      <c r="AL59" s="97"/>
      <c r="AM59" s="103"/>
      <c r="AP59" s="103"/>
    </row>
    <row r="60" spans="1:42" x14ac:dyDescent="0.25">
      <c r="R60" s="279" t="s">
        <v>58</v>
      </c>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1"/>
      <c r="AP60" s="103"/>
    </row>
    <row r="61" spans="1:42" x14ac:dyDescent="0.25">
      <c r="A61" s="282" t="s">
        <v>59</v>
      </c>
      <c r="B61" s="282"/>
      <c r="C61" s="282"/>
      <c r="D61" s="282"/>
      <c r="E61" s="282"/>
      <c r="F61" s="282"/>
      <c r="G61" s="282"/>
      <c r="H61" s="282" t="s">
        <v>22</v>
      </c>
      <c r="I61" s="282"/>
      <c r="J61" s="282"/>
      <c r="K61" s="282" t="s">
        <v>23</v>
      </c>
      <c r="L61" s="282"/>
      <c r="M61" s="282"/>
      <c r="N61" s="282" t="s">
        <v>24</v>
      </c>
      <c r="O61" s="282"/>
      <c r="P61" s="282"/>
      <c r="Q61" s="73"/>
      <c r="R61" s="307" t="s">
        <v>60</v>
      </c>
      <c r="S61" s="288"/>
      <c r="T61" s="288"/>
      <c r="U61" s="288"/>
      <c r="V61" s="288"/>
      <c r="W61" s="288"/>
      <c r="X61" s="288" t="s">
        <v>61</v>
      </c>
      <c r="Y61" s="288"/>
      <c r="Z61" s="288"/>
      <c r="AA61" s="104"/>
      <c r="AB61" s="105"/>
      <c r="AC61" s="288" t="s">
        <v>62</v>
      </c>
      <c r="AD61" s="288"/>
      <c r="AE61" s="288"/>
      <c r="AF61" s="288"/>
      <c r="AG61" s="288"/>
      <c r="AH61" s="288"/>
      <c r="AI61" s="288"/>
      <c r="AJ61" s="288"/>
      <c r="AK61" s="288"/>
      <c r="AL61" s="288"/>
      <c r="AM61" s="288"/>
      <c r="AN61" s="288"/>
      <c r="AO61" s="289"/>
      <c r="AP61" s="103"/>
    </row>
    <row r="62" spans="1:42" x14ac:dyDescent="0.25">
      <c r="A62" s="542" t="s">
        <v>126</v>
      </c>
      <c r="B62" s="82" t="s">
        <v>63</v>
      </c>
      <c r="C62" s="83"/>
      <c r="D62" s="83"/>
      <c r="E62" s="83"/>
      <c r="F62" s="83"/>
      <c r="G62" s="106"/>
      <c r="H62" s="308"/>
      <c r="I62" s="309"/>
      <c r="J62" s="310"/>
      <c r="K62" s="311"/>
      <c r="L62" s="312"/>
      <c r="M62" s="313"/>
      <c r="N62" s="314">
        <f>K62*H62</f>
        <v>0</v>
      </c>
      <c r="O62" s="314"/>
      <c r="P62" s="314"/>
      <c r="Q62" s="102"/>
      <c r="R62" s="286" t="s">
        <v>64</v>
      </c>
      <c r="S62" s="287"/>
      <c r="T62" s="287"/>
      <c r="U62" s="287"/>
      <c r="V62" s="287"/>
      <c r="W62" s="287"/>
      <c r="X62" s="287"/>
      <c r="Y62" s="287"/>
      <c r="Z62" s="287"/>
      <c r="AA62" s="104"/>
      <c r="AB62" s="105"/>
      <c r="AC62" s="287" t="s">
        <v>65</v>
      </c>
      <c r="AD62" s="287"/>
      <c r="AE62" s="287"/>
      <c r="AF62" s="287"/>
      <c r="AG62" s="287"/>
      <c r="AH62" s="287"/>
      <c r="AI62" s="287"/>
      <c r="AJ62" s="287"/>
      <c r="AK62" s="287"/>
      <c r="AL62" s="287"/>
      <c r="AM62" s="287"/>
      <c r="AN62" s="287"/>
      <c r="AO62" s="423"/>
      <c r="AP62" s="103"/>
    </row>
    <row r="63" spans="1:42" x14ac:dyDescent="0.25">
      <c r="A63" s="543"/>
      <c r="B63" s="107" t="s">
        <v>103</v>
      </c>
      <c r="G63" s="108"/>
      <c r="H63" s="315"/>
      <c r="I63" s="740"/>
      <c r="J63" s="741"/>
      <c r="K63" s="316"/>
      <c r="L63" s="317"/>
      <c r="M63" s="739"/>
      <c r="N63" s="285">
        <f>K63*H63</f>
        <v>0</v>
      </c>
      <c r="O63" s="285"/>
      <c r="P63" s="285"/>
      <c r="Q63" s="102"/>
      <c r="R63" s="286" t="s">
        <v>66</v>
      </c>
      <c r="S63" s="287"/>
      <c r="T63" s="287"/>
      <c r="U63" s="287"/>
      <c r="V63" s="287"/>
      <c r="W63" s="287"/>
      <c r="X63" s="287"/>
      <c r="Y63" s="287"/>
      <c r="Z63" s="287"/>
      <c r="AA63" s="104"/>
      <c r="AB63" s="105"/>
      <c r="AC63" s="288" t="s">
        <v>67</v>
      </c>
      <c r="AD63" s="288"/>
      <c r="AE63" s="288"/>
      <c r="AF63" s="288"/>
      <c r="AG63" s="288"/>
      <c r="AH63" s="288"/>
      <c r="AI63" s="288"/>
      <c r="AJ63" s="288"/>
      <c r="AK63" s="288"/>
      <c r="AL63" s="288"/>
      <c r="AM63" s="288"/>
      <c r="AN63" s="288"/>
      <c r="AO63" s="289"/>
    </row>
    <row r="64" spans="1:42" x14ac:dyDescent="0.25">
      <c r="A64" s="543"/>
      <c r="B64" s="107" t="s">
        <v>68</v>
      </c>
      <c r="G64" s="108"/>
      <c r="H64" s="290"/>
      <c r="I64" s="737"/>
      <c r="J64" s="738"/>
      <c r="K64" s="316"/>
      <c r="L64" s="317"/>
      <c r="M64" s="739"/>
      <c r="N64" s="285">
        <f>K64*H64</f>
        <v>0</v>
      </c>
      <c r="O64" s="285"/>
      <c r="P64" s="285"/>
      <c r="Q64" s="109"/>
      <c r="R64" s="409" t="s">
        <v>69</v>
      </c>
      <c r="S64" s="410"/>
      <c r="T64" s="410"/>
      <c r="U64" s="410"/>
      <c r="V64" s="410"/>
      <c r="W64" s="410"/>
      <c r="X64" s="410"/>
      <c r="Y64" s="410"/>
      <c r="Z64" s="410"/>
      <c r="AA64" s="110"/>
      <c r="AB64" s="111"/>
      <c r="AC64" s="329" t="s">
        <v>70</v>
      </c>
      <c r="AD64" s="329"/>
      <c r="AE64" s="329"/>
      <c r="AF64" s="329"/>
      <c r="AG64" s="329"/>
      <c r="AH64" s="329"/>
      <c r="AI64" s="329"/>
      <c r="AJ64" s="329"/>
      <c r="AK64" s="329"/>
      <c r="AL64" s="329"/>
      <c r="AM64" s="329"/>
      <c r="AN64" s="329"/>
      <c r="AO64" s="330"/>
      <c r="AP64" s="112"/>
    </row>
    <row r="65" spans="1:42" x14ac:dyDescent="0.25">
      <c r="A65" s="543"/>
      <c r="B65" s="107" t="s">
        <v>71</v>
      </c>
      <c r="G65" s="108"/>
      <c r="H65" s="290"/>
      <c r="I65" s="737"/>
      <c r="J65" s="738"/>
      <c r="K65" s="316"/>
      <c r="L65" s="317"/>
      <c r="M65" s="739"/>
      <c r="N65" s="285">
        <f>K65*H65</f>
        <v>0</v>
      </c>
      <c r="O65" s="285"/>
      <c r="P65" s="285"/>
      <c r="R65" s="113"/>
      <c r="S65" s="114"/>
      <c r="T65" s="114"/>
      <c r="U65" s="114"/>
      <c r="V65" s="114"/>
      <c r="W65" s="114"/>
      <c r="X65" s="115"/>
      <c r="Y65" s="115"/>
      <c r="Z65" s="115"/>
      <c r="AA65" s="115"/>
      <c r="AB65" s="115"/>
      <c r="AC65" s="115"/>
      <c r="AD65" s="115"/>
      <c r="AE65" s="115"/>
      <c r="AF65" s="115"/>
      <c r="AG65" s="115"/>
      <c r="AH65" s="115"/>
      <c r="AI65" s="115"/>
      <c r="AJ65" s="115"/>
      <c r="AK65" s="115"/>
      <c r="AL65" s="115"/>
      <c r="AM65" s="115"/>
      <c r="AN65" s="115"/>
      <c r="AO65" s="115"/>
      <c r="AP65" s="112"/>
    </row>
    <row r="66" spans="1:42" x14ac:dyDescent="0.25">
      <c r="A66" s="543"/>
      <c r="B66" s="107" t="s">
        <v>72</v>
      </c>
      <c r="G66" s="108"/>
      <c r="H66" s="734"/>
      <c r="I66" s="735"/>
      <c r="J66" s="736"/>
      <c r="K66" s="731"/>
      <c r="L66" s="732"/>
      <c r="M66" s="733"/>
      <c r="N66" s="285">
        <f>K66*H66</f>
        <v>0</v>
      </c>
      <c r="O66" s="285"/>
      <c r="P66" s="285"/>
      <c r="Q66" s="88"/>
      <c r="R66" s="116" t="s">
        <v>73</v>
      </c>
      <c r="S66" s="117"/>
      <c r="T66" s="117"/>
      <c r="U66" s="117"/>
      <c r="V66" s="117"/>
      <c r="W66" s="117"/>
      <c r="X66" s="117"/>
      <c r="Y66" s="117"/>
      <c r="Z66" s="117"/>
      <c r="AA66" s="118"/>
      <c r="AB66" s="119"/>
      <c r="AC66" s="76"/>
      <c r="AD66" s="296" t="s">
        <v>74</v>
      </c>
      <c r="AE66" s="297"/>
      <c r="AF66" s="297"/>
      <c r="AG66" s="297"/>
      <c r="AH66" s="297"/>
      <c r="AI66" s="297"/>
      <c r="AJ66" s="297"/>
      <c r="AK66" s="298"/>
      <c r="AL66" s="284">
        <f>COUNTIF(AN20:AN50,"&gt;0")</f>
        <v>0</v>
      </c>
      <c r="AM66" s="284"/>
      <c r="AN66" s="284"/>
      <c r="AO66" s="284"/>
      <c r="AP66" s="120"/>
    </row>
    <row r="67" spans="1:42" x14ac:dyDescent="0.25">
      <c r="A67" s="544"/>
      <c r="B67" s="15" t="s">
        <v>125</v>
      </c>
      <c r="C67" s="547"/>
      <c r="D67" s="547"/>
      <c r="E67" s="547"/>
      <c r="F67" s="547"/>
      <c r="G67" s="548"/>
      <c r="H67" s="285"/>
      <c r="I67" s="285"/>
      <c r="J67" s="285"/>
      <c r="K67" s="299"/>
      <c r="L67" s="299"/>
      <c r="M67" s="299"/>
      <c r="N67" s="278"/>
      <c r="O67" s="278"/>
      <c r="P67" s="278"/>
      <c r="R67" s="121" t="s">
        <v>75</v>
      </c>
      <c r="S67" s="105"/>
      <c r="T67" s="105"/>
      <c r="U67" s="104"/>
      <c r="V67" s="104"/>
      <c r="W67" s="104"/>
      <c r="X67" s="104"/>
      <c r="Y67" s="104"/>
      <c r="Z67" s="305">
        <f>+(T33*3.15%)-((H55+H56)*1.7%)</f>
        <v>0</v>
      </c>
      <c r="AA67" s="305"/>
      <c r="AB67" s="306"/>
      <c r="AC67" s="76"/>
      <c r="AD67" s="296" t="s">
        <v>76</v>
      </c>
      <c r="AE67" s="297"/>
      <c r="AF67" s="297"/>
      <c r="AG67" s="297"/>
      <c r="AH67" s="297"/>
      <c r="AI67" s="297"/>
      <c r="AJ67" s="297"/>
      <c r="AK67" s="298"/>
      <c r="AL67" s="284">
        <f>COUNTIF(AN20:AN50,"=8")+COUNTIF(AN20:AN50,"&gt;8")</f>
        <v>0</v>
      </c>
      <c r="AM67" s="284"/>
      <c r="AN67" s="284"/>
      <c r="AO67" s="284"/>
    </row>
    <row r="68" spans="1:42" x14ac:dyDescent="0.25">
      <c r="A68" s="14" t="s">
        <v>127</v>
      </c>
      <c r="B68" s="545" t="s">
        <v>128</v>
      </c>
      <c r="C68" s="545"/>
      <c r="D68" s="545"/>
      <c r="E68" s="545"/>
      <c r="F68" s="545"/>
      <c r="G68" s="546"/>
      <c r="H68" s="386"/>
      <c r="I68" s="386"/>
      <c r="J68" s="386"/>
      <c r="K68" s="387"/>
      <c r="L68" s="387"/>
      <c r="M68" s="387"/>
      <c r="N68" s="388">
        <f>H68</f>
        <v>0</v>
      </c>
      <c r="O68" s="388"/>
      <c r="P68" s="388"/>
      <c r="R68" s="122" t="s">
        <v>77</v>
      </c>
      <c r="S68" s="123"/>
      <c r="T68" s="123"/>
      <c r="U68" s="123"/>
      <c r="V68" s="123"/>
      <c r="W68" s="123"/>
      <c r="X68" s="123"/>
      <c r="Y68" s="123"/>
      <c r="Z68" s="389">
        <f>+N57*-1</f>
        <v>0</v>
      </c>
      <c r="AA68" s="389"/>
      <c r="AB68" s="390"/>
      <c r="AC68" s="76"/>
      <c r="AD68" s="296" t="s">
        <v>78</v>
      </c>
      <c r="AE68" s="297"/>
      <c r="AF68" s="297"/>
      <c r="AG68" s="297"/>
      <c r="AH68" s="297"/>
      <c r="AI68" s="297"/>
      <c r="AJ68" s="297"/>
      <c r="AK68" s="298"/>
      <c r="AL68" s="391">
        <f>SUMIF(AN20:AN50,"&lt;8")</f>
        <v>0</v>
      </c>
      <c r="AM68" s="391"/>
      <c r="AN68" s="391"/>
      <c r="AO68" s="391"/>
    </row>
    <row r="69" spans="1:42" x14ac:dyDescent="0.25">
      <c r="N69" s="275">
        <f>SUM(N62:P68)</f>
        <v>0</v>
      </c>
      <c r="O69" s="276"/>
      <c r="P69" s="277"/>
      <c r="R69" s="104"/>
      <c r="S69" s="104"/>
      <c r="T69" s="104"/>
      <c r="U69" s="104"/>
      <c r="V69" s="104"/>
      <c r="W69" s="104"/>
      <c r="X69" s="104"/>
      <c r="Y69" s="104"/>
      <c r="Z69" s="104"/>
      <c r="AA69" s="76"/>
      <c r="AB69" s="76"/>
      <c r="AC69" s="76"/>
      <c r="AD69" s="76"/>
      <c r="AE69" s="76"/>
      <c r="AF69" s="76"/>
      <c r="AG69" s="76"/>
      <c r="AH69" s="76"/>
      <c r="AI69" s="76"/>
      <c r="AJ69" s="76"/>
      <c r="AK69" s="76"/>
      <c r="AL69" s="76"/>
      <c r="AM69" s="76"/>
      <c r="AN69" s="76"/>
      <c r="AO69" s="76"/>
      <c r="AP69" s="120"/>
    </row>
    <row r="70" spans="1:42" ht="9" customHeight="1" x14ac:dyDescent="0.25">
      <c r="N70" s="109"/>
      <c r="O70" s="109"/>
      <c r="P70" s="109"/>
      <c r="R70" s="104"/>
      <c r="S70" s="104"/>
      <c r="T70" s="104"/>
      <c r="U70" s="104"/>
      <c r="V70" s="104"/>
      <c r="W70" s="104"/>
      <c r="X70" s="104"/>
      <c r="Y70" s="104"/>
      <c r="Z70" s="104"/>
      <c r="AA70" s="76"/>
      <c r="AB70" s="76"/>
      <c r="AC70" s="76"/>
      <c r="AD70" s="76"/>
      <c r="AE70" s="76"/>
      <c r="AF70" s="76"/>
      <c r="AG70" s="76"/>
      <c r="AH70" s="76"/>
      <c r="AI70" s="76"/>
      <c r="AJ70" s="76"/>
      <c r="AK70" s="76"/>
      <c r="AL70" s="76"/>
      <c r="AM70" s="76"/>
      <c r="AN70" s="76"/>
      <c r="AO70" s="76"/>
      <c r="AP70" s="120"/>
    </row>
    <row r="71" spans="1:42" x14ac:dyDescent="0.25">
      <c r="E71" s="549" t="s">
        <v>132</v>
      </c>
      <c r="F71" s="549"/>
      <c r="G71" s="549"/>
      <c r="H71" s="549" t="s">
        <v>133</v>
      </c>
      <c r="I71" s="549"/>
      <c r="J71" s="549"/>
      <c r="K71" s="549"/>
      <c r="L71" s="291" t="s">
        <v>211</v>
      </c>
      <c r="M71" s="291"/>
      <c r="N71" s="291"/>
      <c r="O71" s="291"/>
      <c r="P71" s="291"/>
      <c r="Q71" s="292">
        <f>+N59+N68</f>
        <v>0</v>
      </c>
      <c r="R71" s="293"/>
      <c r="S71" s="293"/>
      <c r="T71" s="294"/>
      <c r="U71" s="104"/>
      <c r="V71" s="104"/>
      <c r="W71" s="104"/>
      <c r="X71" s="104"/>
      <c r="Y71" s="104"/>
      <c r="Z71" s="295"/>
      <c r="AA71" s="295"/>
      <c r="AB71" s="295"/>
      <c r="AC71" s="295"/>
      <c r="AD71" s="295"/>
      <c r="AE71" s="295"/>
      <c r="AF71" s="295"/>
      <c r="AG71" s="295"/>
      <c r="AH71" s="295"/>
      <c r="AI71" s="295"/>
      <c r="AJ71" s="295"/>
      <c r="AK71" s="295"/>
      <c r="AL71" s="283"/>
      <c r="AM71" s="283"/>
      <c r="AN71" s="283"/>
      <c r="AO71" s="283"/>
    </row>
    <row r="72" spans="1:42" x14ac:dyDescent="0.25">
      <c r="A72" s="602" t="s">
        <v>79</v>
      </c>
      <c r="B72" s="603"/>
      <c r="C72" s="603"/>
      <c r="D72" s="604"/>
      <c r="E72" s="605">
        <f>+ROUND((T19+T24+T26+T27+T28+T29+T30+T31)-(N58-(N55+N56)),2)</f>
        <v>0</v>
      </c>
      <c r="F72" s="606"/>
      <c r="G72" s="607"/>
      <c r="H72" s="608"/>
      <c r="I72" s="609"/>
      <c r="J72" s="609"/>
      <c r="K72" s="610"/>
      <c r="U72" s="104"/>
      <c r="V72" s="104"/>
      <c r="W72" s="104"/>
      <c r="X72" s="104"/>
      <c r="Y72" s="104"/>
      <c r="Z72" s="295"/>
      <c r="AA72" s="295"/>
      <c r="AB72" s="295"/>
      <c r="AC72" s="295"/>
      <c r="AD72" s="295"/>
      <c r="AE72" s="295"/>
      <c r="AF72" s="295"/>
      <c r="AG72" s="295"/>
      <c r="AH72" s="295"/>
      <c r="AI72" s="295"/>
      <c r="AJ72" s="295"/>
      <c r="AK72" s="295"/>
      <c r="AL72" s="283"/>
      <c r="AM72" s="283"/>
      <c r="AN72" s="283"/>
      <c r="AO72" s="283"/>
      <c r="AP72" s="100"/>
    </row>
    <row r="73" spans="1:42" x14ac:dyDescent="0.25">
      <c r="A73" s="611" t="s">
        <v>84</v>
      </c>
      <c r="B73" s="225"/>
      <c r="C73" s="225"/>
      <c r="D73" s="612"/>
      <c r="E73" s="613">
        <f>SUM(N62:P67)</f>
        <v>0</v>
      </c>
      <c r="F73" s="614"/>
      <c r="G73" s="615"/>
      <c r="H73" s="616"/>
      <c r="I73" s="617"/>
      <c r="J73" s="617"/>
      <c r="K73" s="618"/>
      <c r="L73" s="255" t="s">
        <v>80</v>
      </c>
      <c r="M73" s="256"/>
      <c r="N73" s="256"/>
      <c r="O73" s="256"/>
      <c r="P73" s="257"/>
      <c r="Q73" s="228">
        <f>T33-N58+N69</f>
        <v>0</v>
      </c>
      <c r="R73" s="229"/>
      <c r="S73" s="229"/>
      <c r="T73" s="230"/>
      <c r="U73" s="104"/>
      <c r="V73" s="104"/>
      <c r="W73" s="104"/>
      <c r="X73" s="104"/>
      <c r="Y73" s="104"/>
      <c r="Z73" s="76"/>
      <c r="AA73" s="76"/>
      <c r="AB73" s="76"/>
      <c r="AC73" s="76"/>
      <c r="AD73" s="76"/>
      <c r="AE73" s="76"/>
      <c r="AF73" s="76"/>
      <c r="AG73" s="76"/>
      <c r="AH73" s="76"/>
      <c r="AI73" s="76"/>
      <c r="AJ73" s="76"/>
      <c r="AK73" s="76"/>
      <c r="AM73" s="76"/>
      <c r="AN73" s="76"/>
      <c r="AO73" s="76"/>
      <c r="AP73" s="100"/>
    </row>
    <row r="74" spans="1:42" x14ac:dyDescent="0.25">
      <c r="A74" s="611" t="s">
        <v>131</v>
      </c>
      <c r="B74" s="225"/>
      <c r="C74" s="225"/>
      <c r="D74" s="612"/>
      <c r="E74" s="613">
        <f>+Q75</f>
        <v>0</v>
      </c>
      <c r="F74" s="614"/>
      <c r="G74" s="615"/>
      <c r="H74" s="616"/>
      <c r="I74" s="617"/>
      <c r="J74" s="617"/>
      <c r="K74" s="618"/>
      <c r="U74" s="104"/>
      <c r="V74" s="104"/>
      <c r="W74" s="104"/>
      <c r="X74" s="104"/>
      <c r="Y74" s="104"/>
      <c r="Z74" s="296" t="s">
        <v>83</v>
      </c>
      <c r="AA74" s="297"/>
      <c r="AB74" s="297"/>
      <c r="AC74" s="297"/>
      <c r="AD74" s="297"/>
      <c r="AE74" s="297"/>
      <c r="AF74" s="297"/>
      <c r="AG74" s="297"/>
      <c r="AH74" s="297"/>
      <c r="AI74" s="297"/>
      <c r="AJ74" s="297"/>
      <c r="AK74" s="298"/>
      <c r="AL74" s="365">
        <f>ROUND(N59+N57+(T33*0.9825*2.9/100)-(H57*AR11)+N62+N63+N64+N65+N66,2)</f>
        <v>0</v>
      </c>
      <c r="AM74" s="365"/>
      <c r="AN74" s="365"/>
      <c r="AO74" s="365"/>
    </row>
    <row r="75" spans="1:42" x14ac:dyDescent="0.25">
      <c r="A75" s="589" t="s">
        <v>81</v>
      </c>
      <c r="B75" s="590"/>
      <c r="C75" s="590"/>
      <c r="D75" s="591"/>
      <c r="E75" s="592">
        <f>ROUND(+T20+T21+T22+T23+T25,2)</f>
        <v>0</v>
      </c>
      <c r="F75" s="593"/>
      <c r="G75" s="594"/>
      <c r="H75" s="595"/>
      <c r="I75" s="596"/>
      <c r="J75" s="596"/>
      <c r="K75" s="597"/>
      <c r="L75" s="258" t="s">
        <v>82</v>
      </c>
      <c r="M75" s="259"/>
      <c r="N75" s="259"/>
      <c r="O75" s="259"/>
      <c r="P75" s="260"/>
      <c r="Q75" s="228">
        <f>+AL74*AL75*-1</f>
        <v>0</v>
      </c>
      <c r="R75" s="229"/>
      <c r="S75" s="229"/>
      <c r="T75" s="230"/>
      <c r="U75" s="104"/>
      <c r="V75" s="104"/>
      <c r="W75" s="104"/>
      <c r="X75" s="104"/>
      <c r="Y75" s="104"/>
      <c r="Z75" s="296" t="s">
        <v>85</v>
      </c>
      <c r="AA75" s="297"/>
      <c r="AB75" s="297"/>
      <c r="AC75" s="297"/>
      <c r="AD75" s="297"/>
      <c r="AE75" s="297"/>
      <c r="AF75" s="297"/>
      <c r="AG75" s="297"/>
      <c r="AH75" s="297"/>
      <c r="AI75" s="297"/>
      <c r="AJ75" s="297"/>
      <c r="AK75" s="298"/>
      <c r="AL75" s="366">
        <v>0</v>
      </c>
      <c r="AM75" s="366"/>
      <c r="AN75" s="366"/>
      <c r="AO75" s="366"/>
    </row>
    <row r="76" spans="1:42" ht="8.25" customHeight="1" x14ac:dyDescent="0.25">
      <c r="AE76" s="71"/>
      <c r="AH76" s="71"/>
      <c r="AI76" s="73"/>
      <c r="AP76" s="90"/>
    </row>
    <row r="77" spans="1:42" x14ac:dyDescent="0.25">
      <c r="A77" s="225" t="s">
        <v>87</v>
      </c>
      <c r="B77" s="225"/>
      <c r="C77" s="225"/>
      <c r="D77" s="225"/>
      <c r="E77" s="226"/>
      <c r="F77" s="375" t="s">
        <v>210</v>
      </c>
      <c r="G77" s="376"/>
      <c r="H77" s="377"/>
      <c r="K77" s="373" t="s">
        <v>86</v>
      </c>
      <c r="L77" s="373"/>
      <c r="M77" s="373"/>
      <c r="N77" s="373"/>
      <c r="O77" s="373"/>
      <c r="P77" s="373"/>
      <c r="Q77" s="374"/>
      <c r="R77" s="374"/>
      <c r="S77" s="374"/>
      <c r="T77" s="374"/>
      <c r="V77" s="378" t="s">
        <v>88</v>
      </c>
      <c r="W77" s="379"/>
      <c r="X77" s="379"/>
      <c r="Y77" s="379"/>
      <c r="Z77" s="379"/>
      <c r="AA77" s="379"/>
      <c r="AB77" s="379"/>
      <c r="AC77" s="379"/>
      <c r="AD77" s="379"/>
      <c r="AE77" s="379"/>
      <c r="AF77" s="380"/>
      <c r="AH77" s="71"/>
      <c r="AI77" s="73"/>
      <c r="AP77" s="90"/>
    </row>
    <row r="78" spans="1:42" ht="15.75" x14ac:dyDescent="0.25">
      <c r="A78" s="225" t="s">
        <v>89</v>
      </c>
      <c r="B78" s="225"/>
      <c r="C78" s="225"/>
      <c r="D78" s="225"/>
      <c r="E78" s="226"/>
      <c r="F78" s="367">
        <f>Q79</f>
        <v>0</v>
      </c>
      <c r="G78" s="368"/>
      <c r="H78" s="369"/>
      <c r="M78" s="124"/>
      <c r="N78" s="100"/>
      <c r="O78" s="100"/>
      <c r="P78" s="100"/>
      <c r="V78" s="381"/>
      <c r="W78" s="382"/>
      <c r="X78" s="382"/>
      <c r="Y78" s="382"/>
      <c r="Z78" s="382"/>
      <c r="AA78" s="382"/>
      <c r="AB78" s="382"/>
      <c r="AC78" s="382"/>
      <c r="AD78" s="382"/>
      <c r="AE78" s="382"/>
      <c r="AF78" s="383"/>
      <c r="AH78" s="240" t="s">
        <v>91</v>
      </c>
      <c r="AI78" s="241"/>
      <c r="AJ78" s="241"/>
      <c r="AK78" s="242"/>
      <c r="AL78" s="246" t="s">
        <v>92</v>
      </c>
      <c r="AM78" s="247"/>
      <c r="AN78" s="247"/>
      <c r="AO78" s="248"/>
      <c r="AP78" s="73"/>
    </row>
    <row r="79" spans="1:42" ht="15" customHeight="1" x14ac:dyDescent="0.25">
      <c r="A79" s="225" t="s">
        <v>93</v>
      </c>
      <c r="B79" s="225"/>
      <c r="C79" s="225"/>
      <c r="D79" s="225"/>
      <c r="E79" s="226"/>
      <c r="F79" s="406" t="s">
        <v>94</v>
      </c>
      <c r="G79" s="376"/>
      <c r="H79" s="377"/>
      <c r="L79" s="407" t="s">
        <v>90</v>
      </c>
      <c r="M79" s="407"/>
      <c r="N79" s="407"/>
      <c r="O79" s="407"/>
      <c r="P79" s="408"/>
      <c r="Q79" s="228">
        <f>+Q73+Q75+Q77</f>
        <v>0</v>
      </c>
      <c r="R79" s="229"/>
      <c r="S79" s="229"/>
      <c r="T79" s="230"/>
      <c r="AH79" s="243"/>
      <c r="AI79" s="244"/>
      <c r="AJ79" s="244"/>
      <c r="AK79" s="245"/>
      <c r="AL79" s="249"/>
      <c r="AM79" s="250"/>
      <c r="AN79" s="250"/>
      <c r="AO79" s="251"/>
      <c r="AP79" s="73"/>
    </row>
    <row r="80" spans="1:42" x14ac:dyDescent="0.25">
      <c r="A80" s="225" t="s">
        <v>95</v>
      </c>
      <c r="B80" s="225"/>
      <c r="C80" s="225"/>
      <c r="D80" s="225"/>
      <c r="E80" s="226"/>
      <c r="F80" s="367"/>
      <c r="G80" s="368"/>
      <c r="H80" s="369"/>
      <c r="V80" s="335" t="str">
        <f>IF(AR3="Année Complète","Nombre de mois travaillés avant:","Nombre de semaines travaillées avant")</f>
        <v>Nombre de mois travaillés avant:</v>
      </c>
      <c r="W80" s="336"/>
      <c r="X80" s="336"/>
      <c r="Y80" s="336"/>
      <c r="Z80" s="336"/>
      <c r="AA80" s="336"/>
      <c r="AB80" s="336"/>
      <c r="AC80" s="336"/>
      <c r="AD80" s="336"/>
      <c r="AE80" s="336"/>
      <c r="AF80" s="336"/>
      <c r="AG80" s="598"/>
      <c r="AH80" s="370"/>
      <c r="AI80" s="371"/>
      <c r="AJ80" s="371"/>
      <c r="AK80" s="372"/>
      <c r="AL80" s="371"/>
      <c r="AM80" s="371"/>
      <c r="AN80" s="371"/>
      <c r="AO80" s="372"/>
      <c r="AP80" s="112"/>
    </row>
    <row r="81" spans="1:42" x14ac:dyDescent="0.25">
      <c r="V81" s="338" t="str">
        <f>IF(AR3="Année Complète","Mois travaillé:","Semaines travaillées ce mois ci :")</f>
        <v>Mois travaillé:</v>
      </c>
      <c r="W81" s="599"/>
      <c r="X81" s="599"/>
      <c r="Y81" s="599"/>
      <c r="Z81" s="599"/>
      <c r="AA81" s="599"/>
      <c r="AB81" s="599"/>
      <c r="AC81" s="599"/>
      <c r="AD81" s="599"/>
      <c r="AE81" s="599"/>
      <c r="AF81" s="599"/>
      <c r="AG81" s="600"/>
      <c r="AH81" s="398"/>
      <c r="AI81" s="399"/>
      <c r="AJ81" s="399"/>
      <c r="AK81" s="400"/>
      <c r="AL81" s="401"/>
      <c r="AM81" s="401"/>
      <c r="AN81" s="401"/>
      <c r="AO81" s="402"/>
      <c r="AP81" s="112"/>
    </row>
    <row r="82" spans="1:42" x14ac:dyDescent="0.25">
      <c r="A82" s="225" t="s">
        <v>96</v>
      </c>
      <c r="B82" s="225"/>
      <c r="C82" s="225"/>
      <c r="D82" s="225"/>
      <c r="E82" s="225"/>
      <c r="F82" s="403"/>
      <c r="G82" s="403"/>
      <c r="H82" s="403"/>
      <c r="I82" s="403"/>
      <c r="J82" s="403"/>
      <c r="K82" s="403"/>
      <c r="L82" s="403"/>
      <c r="V82" s="213" t="s">
        <v>97</v>
      </c>
      <c r="W82" s="214"/>
      <c r="X82" s="214"/>
      <c r="Y82" s="214"/>
      <c r="Z82" s="214"/>
      <c r="AA82" s="214"/>
      <c r="AB82" s="214"/>
      <c r="AC82" s="214"/>
      <c r="AD82" s="214"/>
      <c r="AE82" s="214"/>
      <c r="AF82" s="214"/>
      <c r="AG82" s="215"/>
      <c r="AH82" s="237">
        <f>IF(AR3="Année Complète",MIN(ROUNDUP((AH80*2.5),0),30),MIN(ROUNDUP((AH80/4*2.5),0),30))</f>
        <v>0</v>
      </c>
      <c r="AI82" s="238"/>
      <c r="AJ82" s="238"/>
      <c r="AK82" s="239"/>
      <c r="AL82" s="237">
        <f>IF(AR3="Année Complète",MIN(ROUNDUP((AL80+AL81)*2.5,0),30),MIN(ROUNDUP((AL80+AL81)/4*2.5,0),30))</f>
        <v>0</v>
      </c>
      <c r="AM82" s="238"/>
      <c r="AN82" s="238"/>
      <c r="AO82" s="239"/>
      <c r="AP82" s="112"/>
    </row>
    <row r="83" spans="1:42" x14ac:dyDescent="0.25">
      <c r="A83" s="225" t="s">
        <v>98</v>
      </c>
      <c r="B83" s="225"/>
      <c r="C83" s="225"/>
      <c r="D83" s="225"/>
      <c r="E83" s="225"/>
      <c r="F83" s="385">
        <f>EOMONTH(X3,0)</f>
        <v>46081</v>
      </c>
      <c r="G83" s="385"/>
      <c r="H83" s="385"/>
      <c r="I83" s="385"/>
      <c r="V83" s="213" t="s">
        <v>227</v>
      </c>
      <c r="W83" s="214"/>
      <c r="X83" s="214"/>
      <c r="Y83" s="214"/>
      <c r="Z83" s="214"/>
      <c r="AA83" s="214"/>
      <c r="AB83" s="214"/>
      <c r="AC83" s="214"/>
      <c r="AD83" s="214"/>
      <c r="AE83" s="214"/>
      <c r="AF83" s="214"/>
      <c r="AG83" s="215"/>
      <c r="AH83" s="252"/>
      <c r="AI83" s="253"/>
      <c r="AJ83" s="253"/>
      <c r="AK83" s="254"/>
      <c r="AL83" s="252"/>
      <c r="AM83" s="253"/>
      <c r="AN83" s="253"/>
      <c r="AO83" s="254"/>
      <c r="AP83" s="112"/>
    </row>
    <row r="84" spans="1:42" x14ac:dyDescent="0.25">
      <c r="A84" s="225" t="s">
        <v>100</v>
      </c>
      <c r="B84" s="225"/>
      <c r="C84" s="225"/>
      <c r="D84" s="225"/>
      <c r="E84" s="225"/>
      <c r="V84" s="213" t="s">
        <v>105</v>
      </c>
      <c r="W84" s="214"/>
      <c r="X84" s="214"/>
      <c r="Y84" s="214"/>
      <c r="Z84" s="214"/>
      <c r="AA84" s="214"/>
      <c r="AB84" s="214"/>
      <c r="AC84" s="214"/>
      <c r="AD84" s="214"/>
      <c r="AE84" s="214"/>
      <c r="AF84" s="214"/>
      <c r="AG84" s="215"/>
      <c r="AH84" s="231"/>
      <c r="AI84" s="232"/>
      <c r="AJ84" s="232"/>
      <c r="AK84" s="233"/>
      <c r="AL84" s="404"/>
      <c r="AM84" s="404"/>
      <c r="AN84" s="404"/>
      <c r="AO84" s="405"/>
      <c r="AP84" s="112"/>
    </row>
    <row r="85" spans="1:42" x14ac:dyDescent="0.25">
      <c r="V85" s="213" t="s">
        <v>106</v>
      </c>
      <c r="W85" s="337"/>
      <c r="X85" s="337"/>
      <c r="Y85" s="337"/>
      <c r="Z85" s="337"/>
      <c r="AA85" s="337"/>
      <c r="AB85" s="337"/>
      <c r="AC85" s="337"/>
      <c r="AD85" s="337"/>
      <c r="AE85" s="337"/>
      <c r="AF85" s="337"/>
      <c r="AG85" s="392"/>
      <c r="AH85" s="237">
        <f>MIN(+AH84+AH82+AH83,30)</f>
        <v>0</v>
      </c>
      <c r="AI85" s="238"/>
      <c r="AJ85" s="238"/>
      <c r="AK85" s="239"/>
      <c r="AL85" s="237">
        <f>MIN(+AL82+AL83,30)</f>
        <v>0</v>
      </c>
      <c r="AM85" s="238"/>
      <c r="AN85" s="238"/>
      <c r="AO85" s="239"/>
      <c r="AP85" s="112"/>
    </row>
    <row r="86" spans="1:42" x14ac:dyDescent="0.25">
      <c r="V86" s="213" t="s">
        <v>99</v>
      </c>
      <c r="W86" s="337"/>
      <c r="X86" s="337"/>
      <c r="Y86" s="337"/>
      <c r="Z86" s="337"/>
      <c r="AA86" s="337"/>
      <c r="AB86" s="337"/>
      <c r="AC86" s="337"/>
      <c r="AD86" s="337"/>
      <c r="AE86" s="337"/>
      <c r="AF86" s="337"/>
      <c r="AG86" s="392"/>
      <c r="AH86" s="252"/>
      <c r="AI86" s="253"/>
      <c r="AJ86" s="253"/>
      <c r="AK86" s="254"/>
      <c r="AL86" s="252"/>
      <c r="AM86" s="253"/>
      <c r="AN86" s="253"/>
      <c r="AO86" s="254"/>
      <c r="AP86" s="112"/>
    </row>
    <row r="87" spans="1:42" x14ac:dyDescent="0.25">
      <c r="A87" s="227" t="s">
        <v>129</v>
      </c>
      <c r="B87" s="227"/>
      <c r="C87" s="227"/>
      <c r="D87" s="227"/>
      <c r="E87" s="227"/>
      <c r="F87" s="227"/>
      <c r="V87" s="393" t="s">
        <v>101</v>
      </c>
      <c r="W87" s="342"/>
      <c r="X87" s="342"/>
      <c r="Y87" s="342"/>
      <c r="Z87" s="342"/>
      <c r="AA87" s="342"/>
      <c r="AB87" s="342"/>
      <c r="AC87" s="342"/>
      <c r="AD87" s="342"/>
      <c r="AE87" s="342"/>
      <c r="AF87" s="342"/>
      <c r="AG87" s="394"/>
      <c r="AH87" s="231"/>
      <c r="AI87" s="232"/>
      <c r="AJ87" s="232"/>
      <c r="AK87" s="233"/>
      <c r="AL87" s="231"/>
      <c r="AM87" s="232"/>
      <c r="AN87" s="232"/>
      <c r="AO87" s="233"/>
      <c r="AP87" s="112"/>
    </row>
    <row r="88" spans="1:42" x14ac:dyDescent="0.25">
      <c r="A88" s="227" t="s">
        <v>130</v>
      </c>
      <c r="B88" s="227"/>
      <c r="C88" s="227"/>
      <c r="D88" s="227"/>
      <c r="E88" s="227"/>
      <c r="F88" s="227"/>
      <c r="V88" s="395" t="s">
        <v>102</v>
      </c>
      <c r="W88" s="396"/>
      <c r="X88" s="396"/>
      <c r="Y88" s="396"/>
      <c r="Z88" s="396"/>
      <c r="AA88" s="396"/>
      <c r="AB88" s="396"/>
      <c r="AC88" s="396"/>
      <c r="AD88" s="396"/>
      <c r="AE88" s="396"/>
      <c r="AF88" s="396"/>
      <c r="AG88" s="397"/>
      <c r="AH88" s="234">
        <f>+AH85-AH86-AH87</f>
        <v>0</v>
      </c>
      <c r="AI88" s="235"/>
      <c r="AJ88" s="235"/>
      <c r="AK88" s="236"/>
      <c r="AL88" s="234">
        <f>+AL85-AL86-AL87</f>
        <v>0</v>
      </c>
      <c r="AM88" s="235"/>
      <c r="AN88" s="235"/>
      <c r="AO88" s="236"/>
      <c r="AP88" s="112"/>
    </row>
    <row r="89" spans="1:42" x14ac:dyDescent="0.25">
      <c r="V89" s="216" t="s">
        <v>107</v>
      </c>
      <c r="W89" s="217"/>
      <c r="X89" s="217"/>
      <c r="Y89" s="217"/>
      <c r="Z89" s="217"/>
      <c r="AA89" s="217"/>
      <c r="AB89" s="217"/>
      <c r="AC89" s="217"/>
      <c r="AD89" s="217"/>
      <c r="AE89" s="217"/>
      <c r="AF89" s="217"/>
      <c r="AG89" s="218"/>
      <c r="AH89" s="219"/>
      <c r="AI89" s="220"/>
      <c r="AJ89" s="220"/>
      <c r="AK89" s="221"/>
      <c r="AL89" s="222"/>
      <c r="AM89" s="223"/>
      <c r="AN89" s="223"/>
      <c r="AO89" s="224"/>
    </row>
    <row r="90" spans="1:42" x14ac:dyDescent="0.25">
      <c r="A90" s="384"/>
      <c r="B90" s="384"/>
      <c r="C90" s="384"/>
      <c r="D90" s="384"/>
      <c r="E90" s="384"/>
      <c r="F90" s="384"/>
      <c r="G90" s="384"/>
      <c r="H90" s="384"/>
      <c r="I90" s="384"/>
      <c r="J90" s="384"/>
      <c r="K90" s="384"/>
      <c r="L90" s="384"/>
      <c r="M90" s="384"/>
      <c r="N90" s="384"/>
      <c r="O90" s="384"/>
      <c r="P90" s="384"/>
      <c r="Q90" s="384"/>
      <c r="R90" s="384"/>
      <c r="S90" s="384"/>
      <c r="T90" s="384"/>
      <c r="U90" s="384"/>
      <c r="V90" s="384"/>
      <c r="W90" s="384"/>
      <c r="X90" s="384"/>
      <c r="Y90" s="384"/>
      <c r="Z90" s="384"/>
      <c r="AA90" s="384"/>
      <c r="AB90" s="384"/>
      <c r="AC90" s="384"/>
      <c r="AD90" s="384"/>
      <c r="AE90" s="384"/>
      <c r="AF90" s="384"/>
      <c r="AG90" s="384"/>
      <c r="AH90" s="384"/>
      <c r="AI90" s="384"/>
      <c r="AJ90" s="384"/>
      <c r="AK90" s="384"/>
      <c r="AL90" s="384"/>
      <c r="AM90" s="384"/>
      <c r="AN90" s="384"/>
      <c r="AO90" s="384"/>
    </row>
    <row r="91" spans="1:42" x14ac:dyDescent="0.25">
      <c r="R91" s="73"/>
      <c r="S91" s="73"/>
      <c r="T91" s="73"/>
      <c r="U91" s="73"/>
      <c r="V91" s="73"/>
      <c r="W91" s="73"/>
      <c r="X91" s="73"/>
      <c r="Y91" s="73"/>
      <c r="Z91" s="73"/>
      <c r="AB91" s="73"/>
      <c r="AC91" s="73"/>
      <c r="AD91" s="73"/>
      <c r="AE91" s="73"/>
      <c r="AF91" s="73"/>
      <c r="AG91" s="73"/>
      <c r="AH91" s="73"/>
    </row>
    <row r="92" spans="1:42" x14ac:dyDescent="0.25">
      <c r="AA92" s="73"/>
    </row>
    <row r="95" spans="1:42" x14ac:dyDescent="0.25">
      <c r="N95" s="73"/>
      <c r="O95" s="73"/>
      <c r="P95" s="73"/>
      <c r="Q95" s="73"/>
    </row>
    <row r="103" spans="6:10" x14ac:dyDescent="0.25">
      <c r="F103" s="71"/>
      <c r="G103" s="363"/>
      <c r="H103" s="363"/>
      <c r="I103" s="363"/>
      <c r="J103" s="363"/>
    </row>
    <row r="104" spans="6:10" x14ac:dyDescent="0.25">
      <c r="F104" s="71"/>
      <c r="G104" s="364"/>
      <c r="H104" s="364"/>
      <c r="I104" s="364"/>
      <c r="J104" s="364"/>
    </row>
    <row r="105" spans="6:10" x14ac:dyDescent="0.25">
      <c r="F105" s="71"/>
      <c r="G105" s="363"/>
      <c r="H105" s="363"/>
      <c r="I105" s="363"/>
      <c r="J105" s="363"/>
    </row>
    <row r="106" spans="6:10" x14ac:dyDescent="0.25">
      <c r="F106" s="71"/>
      <c r="G106" s="364"/>
      <c r="H106" s="364"/>
      <c r="I106" s="364"/>
      <c r="J106" s="364"/>
    </row>
    <row r="107" spans="6:10" x14ac:dyDescent="0.25">
      <c r="F107" s="71"/>
      <c r="G107" s="363"/>
      <c r="H107" s="363"/>
      <c r="I107" s="363"/>
      <c r="J107" s="363"/>
    </row>
  </sheetData>
  <sheetProtection algorithmName="SHA-512" hashValue="oW3PGxFzXAg7LjUew9HeKNRhFtC2Ml6NnqbWNgy2nzPOq4P3UQMLbgLdHN6+wm60ycxxb+U8H4K/09U3NhxHiw==" saltValue="5r1St3/I23tY5sT2X8o5Wg==" spinCount="100000" sheet="1" objects="1" scenarios="1" formatCells="0" formatColumns="0" formatRows="0" insertColumns="0" insertRows="0" insertHyperlinks="0" sort="0" autoFilter="0" pivotTables="0"/>
  <mergeCells count="527">
    <mergeCell ref="AG39:AI39"/>
    <mergeCell ref="AJ39:AL39"/>
    <mergeCell ref="AG38:AI38"/>
    <mergeCell ref="AJ38:AL38"/>
    <mergeCell ref="T20:W20"/>
    <mergeCell ref="AB20:AC20"/>
    <mergeCell ref="AD20:AF20"/>
    <mergeCell ref="T23:W23"/>
    <mergeCell ref="AB23:AC23"/>
    <mergeCell ref="AD23:AF23"/>
    <mergeCell ref="AG23:AI23"/>
    <mergeCell ref="AJ26:AL26"/>
    <mergeCell ref="AG29:AI29"/>
    <mergeCell ref="AJ29:AL29"/>
    <mergeCell ref="AJ27:AL27"/>
    <mergeCell ref="AB34:AC34"/>
    <mergeCell ref="AD34:AF34"/>
    <mergeCell ref="AG34:AI34"/>
    <mergeCell ref="AJ34:AL34"/>
    <mergeCell ref="T22:W22"/>
    <mergeCell ref="AB22:AC22"/>
    <mergeCell ref="AD22:AF22"/>
    <mergeCell ref="AG22:AI22"/>
    <mergeCell ref="AJ22:AL22"/>
    <mergeCell ref="BC19:BD19"/>
    <mergeCell ref="AR38:AS38"/>
    <mergeCell ref="A75:D75"/>
    <mergeCell ref="E75:G75"/>
    <mergeCell ref="H75:K75"/>
    <mergeCell ref="V80:AG80"/>
    <mergeCell ref="V81:AG81"/>
    <mergeCell ref="A23:K23"/>
    <mergeCell ref="L23:O23"/>
    <mergeCell ref="P23:S23"/>
    <mergeCell ref="A72:D72"/>
    <mergeCell ref="E72:G72"/>
    <mergeCell ref="H72:K72"/>
    <mergeCell ref="A73:D73"/>
    <mergeCell ref="E73:G73"/>
    <mergeCell ref="H73:K73"/>
    <mergeCell ref="A74:D74"/>
    <mergeCell ref="E74:G74"/>
    <mergeCell ref="H74:K74"/>
    <mergeCell ref="AJ23:AL23"/>
    <mergeCell ref="AJ21:AL21"/>
    <mergeCell ref="A22:K22"/>
    <mergeCell ref="L22:O22"/>
    <mergeCell ref="P22:S22"/>
    <mergeCell ref="AR3:AS3"/>
    <mergeCell ref="X5:Y5"/>
    <mergeCell ref="Z5:AA5"/>
    <mergeCell ref="AB5:AC5"/>
    <mergeCell ref="V7:AO7"/>
    <mergeCell ref="A10:M11"/>
    <mergeCell ref="H14:K14"/>
    <mergeCell ref="O14:T14"/>
    <mergeCell ref="U14:X14"/>
    <mergeCell ref="AE14:AK14"/>
    <mergeCell ref="AL14:AO14"/>
    <mergeCell ref="V12:Y12"/>
    <mergeCell ref="Z11:AO11"/>
    <mergeCell ref="E5:R5"/>
    <mergeCell ref="E6:R6"/>
    <mergeCell ref="E7:R7"/>
    <mergeCell ref="AJ4:AO4"/>
    <mergeCell ref="E4:R4"/>
    <mergeCell ref="AR17:AS17"/>
    <mergeCell ref="AR30:AU32"/>
    <mergeCell ref="A62:A67"/>
    <mergeCell ref="B68:G68"/>
    <mergeCell ref="C67:G67"/>
    <mergeCell ref="E71:G71"/>
    <mergeCell ref="H71:K71"/>
    <mergeCell ref="AJ18:AL19"/>
    <mergeCell ref="A19:K19"/>
    <mergeCell ref="L19:O19"/>
    <mergeCell ref="P19:S19"/>
    <mergeCell ref="T19:W19"/>
    <mergeCell ref="AG20:AI20"/>
    <mergeCell ref="AJ20:AL20"/>
    <mergeCell ref="A21:K21"/>
    <mergeCell ref="L21:O21"/>
    <mergeCell ref="P21:S21"/>
    <mergeCell ref="T21:W21"/>
    <mergeCell ref="AB21:AC21"/>
    <mergeCell ref="AD21:AF21"/>
    <mergeCell ref="AG21:AI21"/>
    <mergeCell ref="A20:K20"/>
    <mergeCell ref="L20:O20"/>
    <mergeCell ref="P20:S20"/>
    <mergeCell ref="M15:N15"/>
    <mergeCell ref="AE15:AK15"/>
    <mergeCell ref="AL15:AO15"/>
    <mergeCell ref="A18:K18"/>
    <mergeCell ref="L18:O18"/>
    <mergeCell ref="P18:S18"/>
    <mergeCell ref="T18:W18"/>
    <mergeCell ref="AB18:AC19"/>
    <mergeCell ref="AD18:AF19"/>
    <mergeCell ref="AG18:AI19"/>
    <mergeCell ref="X15:Y15"/>
    <mergeCell ref="AJ24:AL24"/>
    <mergeCell ref="B25:K25"/>
    <mergeCell ref="L25:O25"/>
    <mergeCell ref="P25:S25"/>
    <mergeCell ref="T25:W25"/>
    <mergeCell ref="AB25:AC25"/>
    <mergeCell ref="AD25:AF25"/>
    <mergeCell ref="B24:K24"/>
    <mergeCell ref="L24:O24"/>
    <mergeCell ref="P24:S24"/>
    <mergeCell ref="T24:W24"/>
    <mergeCell ref="AB24:AC24"/>
    <mergeCell ref="AG25:AI25"/>
    <mergeCell ref="AJ25:AL25"/>
    <mergeCell ref="A24:A25"/>
    <mergeCell ref="AG26:AI26"/>
    <mergeCell ref="AD24:AF24"/>
    <mergeCell ref="AG24:AI24"/>
    <mergeCell ref="B27:K27"/>
    <mergeCell ref="L27:O27"/>
    <mergeCell ref="P27:S27"/>
    <mergeCell ref="T27:W27"/>
    <mergeCell ref="AB27:AC27"/>
    <mergeCell ref="AD27:AF27"/>
    <mergeCell ref="AG27:AI27"/>
    <mergeCell ref="AG28:AI28"/>
    <mergeCell ref="AJ28:AL28"/>
    <mergeCell ref="AG30:AI30"/>
    <mergeCell ref="AJ30:AL30"/>
    <mergeCell ref="A26:A32"/>
    <mergeCell ref="B26:K26"/>
    <mergeCell ref="L26:O26"/>
    <mergeCell ref="P26:S26"/>
    <mergeCell ref="T26:W26"/>
    <mergeCell ref="AB26:AC26"/>
    <mergeCell ref="AD26:AF26"/>
    <mergeCell ref="B29:K29"/>
    <mergeCell ref="L29:O29"/>
    <mergeCell ref="P29:S29"/>
    <mergeCell ref="T29:W29"/>
    <mergeCell ref="AB29:AC29"/>
    <mergeCell ref="AD29:AF29"/>
    <mergeCell ref="B30:K30"/>
    <mergeCell ref="L30:O30"/>
    <mergeCell ref="P30:S30"/>
    <mergeCell ref="T30:W30"/>
    <mergeCell ref="AB30:AC30"/>
    <mergeCell ref="AD30:AF30"/>
    <mergeCell ref="B28:K28"/>
    <mergeCell ref="L28:O28"/>
    <mergeCell ref="P28:S28"/>
    <mergeCell ref="T28:W28"/>
    <mergeCell ref="AB28:AC28"/>
    <mergeCell ref="AD28:AF28"/>
    <mergeCell ref="L33:S33"/>
    <mergeCell ref="T33:W33"/>
    <mergeCell ref="AB33:AC33"/>
    <mergeCell ref="AD33:AF33"/>
    <mergeCell ref="AG33:AI33"/>
    <mergeCell ref="AJ33:AL33"/>
    <mergeCell ref="AJ31:AL31"/>
    <mergeCell ref="B32:K32"/>
    <mergeCell ref="L32:O32"/>
    <mergeCell ref="P32:S32"/>
    <mergeCell ref="T32:W32"/>
    <mergeCell ref="AB32:AC32"/>
    <mergeCell ref="AD32:AF32"/>
    <mergeCell ref="AG32:AI32"/>
    <mergeCell ref="AJ32:AL32"/>
    <mergeCell ref="B31:K31"/>
    <mergeCell ref="L31:O31"/>
    <mergeCell ref="P31:S31"/>
    <mergeCell ref="T31:W31"/>
    <mergeCell ref="AB31:AC31"/>
    <mergeCell ref="AD31:AF31"/>
    <mergeCell ref="AG31:AI31"/>
    <mergeCell ref="H35:P35"/>
    <mergeCell ref="R35:Z35"/>
    <mergeCell ref="AB35:AC35"/>
    <mergeCell ref="AD35:AF35"/>
    <mergeCell ref="AG35:AI35"/>
    <mergeCell ref="AJ35:AL35"/>
    <mergeCell ref="AD37:AF37"/>
    <mergeCell ref="AG37:AI37"/>
    <mergeCell ref="AJ37:AL37"/>
    <mergeCell ref="AD36:AF36"/>
    <mergeCell ref="AG36:AI36"/>
    <mergeCell ref="AJ36:AL36"/>
    <mergeCell ref="X36:Z36"/>
    <mergeCell ref="AB36:AC36"/>
    <mergeCell ref="X37:Z37"/>
    <mergeCell ref="AB37:AC37"/>
    <mergeCell ref="A37:G37"/>
    <mergeCell ref="H37:J37"/>
    <mergeCell ref="K37:M37"/>
    <mergeCell ref="N37:P37"/>
    <mergeCell ref="R37:T37"/>
    <mergeCell ref="U37:W37"/>
    <mergeCell ref="A36:G36"/>
    <mergeCell ref="H36:J36"/>
    <mergeCell ref="K36:M36"/>
    <mergeCell ref="N36:P36"/>
    <mergeCell ref="R36:T36"/>
    <mergeCell ref="U36:W36"/>
    <mergeCell ref="A38:G38"/>
    <mergeCell ref="H38:J38"/>
    <mergeCell ref="K38:M38"/>
    <mergeCell ref="N38:P38"/>
    <mergeCell ref="R38:T38"/>
    <mergeCell ref="U38:W38"/>
    <mergeCell ref="X39:Z39"/>
    <mergeCell ref="AB39:AC39"/>
    <mergeCell ref="AD39:AF39"/>
    <mergeCell ref="A39:G39"/>
    <mergeCell ref="H39:J39"/>
    <mergeCell ref="K39:M39"/>
    <mergeCell ref="N39:P39"/>
    <mergeCell ref="R39:T39"/>
    <mergeCell ref="U39:W39"/>
    <mergeCell ref="X38:Z38"/>
    <mergeCell ref="AB38:AC38"/>
    <mergeCell ref="AD38:AF38"/>
    <mergeCell ref="X40:Z40"/>
    <mergeCell ref="AB40:AC40"/>
    <mergeCell ref="AD40:AF40"/>
    <mergeCell ref="AG40:AI40"/>
    <mergeCell ref="AJ40:AL40"/>
    <mergeCell ref="A40:G40"/>
    <mergeCell ref="H40:J40"/>
    <mergeCell ref="K40:M40"/>
    <mergeCell ref="N40:P40"/>
    <mergeCell ref="R40:T40"/>
    <mergeCell ref="U40:W40"/>
    <mergeCell ref="X41:Z41"/>
    <mergeCell ref="AB41:AC41"/>
    <mergeCell ref="AD41:AF41"/>
    <mergeCell ref="AG41:AI41"/>
    <mergeCell ref="AJ41:AL41"/>
    <mergeCell ref="N41:P41"/>
    <mergeCell ref="R41:T41"/>
    <mergeCell ref="U41:W41"/>
    <mergeCell ref="X42:Z42"/>
    <mergeCell ref="AB42:AC42"/>
    <mergeCell ref="AD42:AF42"/>
    <mergeCell ref="AG42:AI42"/>
    <mergeCell ref="AJ42:AL42"/>
    <mergeCell ref="A42:G42"/>
    <mergeCell ref="H42:J42"/>
    <mergeCell ref="K42:M42"/>
    <mergeCell ref="N42:P42"/>
    <mergeCell ref="R42:T42"/>
    <mergeCell ref="U42:W42"/>
    <mergeCell ref="X43:Z43"/>
    <mergeCell ref="AB43:AC43"/>
    <mergeCell ref="AD43:AF43"/>
    <mergeCell ref="AG43:AI43"/>
    <mergeCell ref="AJ43:AL43"/>
    <mergeCell ref="K43:M43"/>
    <mergeCell ref="N43:P43"/>
    <mergeCell ref="R43:T43"/>
    <mergeCell ref="U43:W43"/>
    <mergeCell ref="X44:Z44"/>
    <mergeCell ref="AB44:AC44"/>
    <mergeCell ref="AD44:AF44"/>
    <mergeCell ref="AG44:AI44"/>
    <mergeCell ref="AJ44:AL44"/>
    <mergeCell ref="A44:G44"/>
    <mergeCell ref="H44:J44"/>
    <mergeCell ref="K44:M44"/>
    <mergeCell ref="N44:P44"/>
    <mergeCell ref="R44:T44"/>
    <mergeCell ref="U44:W44"/>
    <mergeCell ref="X45:Z45"/>
    <mergeCell ref="AB45:AC45"/>
    <mergeCell ref="AD45:AF45"/>
    <mergeCell ref="AG45:AI45"/>
    <mergeCell ref="AJ45:AL45"/>
    <mergeCell ref="A45:G45"/>
    <mergeCell ref="H45:J45"/>
    <mergeCell ref="K45:M45"/>
    <mergeCell ref="N45:P45"/>
    <mergeCell ref="R45:T45"/>
    <mergeCell ref="U45:W45"/>
    <mergeCell ref="X46:Z46"/>
    <mergeCell ref="AB46:AC46"/>
    <mergeCell ref="AD46:AF46"/>
    <mergeCell ref="AG46:AI46"/>
    <mergeCell ref="AJ46:AL46"/>
    <mergeCell ref="A46:G46"/>
    <mergeCell ref="H46:J46"/>
    <mergeCell ref="K46:M46"/>
    <mergeCell ref="N46:P46"/>
    <mergeCell ref="R46:T46"/>
    <mergeCell ref="U46:W46"/>
    <mergeCell ref="X47:Z47"/>
    <mergeCell ref="AB47:AC47"/>
    <mergeCell ref="AD47:AF47"/>
    <mergeCell ref="AG47:AI47"/>
    <mergeCell ref="AJ47:AL47"/>
    <mergeCell ref="H47:J47"/>
    <mergeCell ref="K47:M47"/>
    <mergeCell ref="N47:P47"/>
    <mergeCell ref="R47:T47"/>
    <mergeCell ref="U47:W47"/>
    <mergeCell ref="X48:Z48"/>
    <mergeCell ref="AB48:AC48"/>
    <mergeCell ref="AD48:AF48"/>
    <mergeCell ref="AG48:AI48"/>
    <mergeCell ref="AJ48:AL48"/>
    <mergeCell ref="H48:J48"/>
    <mergeCell ref="K48:M48"/>
    <mergeCell ref="N48:P48"/>
    <mergeCell ref="R48:T48"/>
    <mergeCell ref="U48:W48"/>
    <mergeCell ref="X49:Z49"/>
    <mergeCell ref="AB49:AC49"/>
    <mergeCell ref="AD49:AF49"/>
    <mergeCell ref="AG49:AI49"/>
    <mergeCell ref="AJ49:AL49"/>
    <mergeCell ref="A49:G49"/>
    <mergeCell ref="H49:J49"/>
    <mergeCell ref="K49:M49"/>
    <mergeCell ref="N49:P49"/>
    <mergeCell ref="R49:T49"/>
    <mergeCell ref="U49:W49"/>
    <mergeCell ref="X50:Z50"/>
    <mergeCell ref="AB50:AC50"/>
    <mergeCell ref="AD50:AF50"/>
    <mergeCell ref="AG50:AI50"/>
    <mergeCell ref="AJ50:AL50"/>
    <mergeCell ref="R50:T50"/>
    <mergeCell ref="U50:W50"/>
    <mergeCell ref="H50:J50"/>
    <mergeCell ref="K50:M50"/>
    <mergeCell ref="N50:P50"/>
    <mergeCell ref="X51:Z51"/>
    <mergeCell ref="AB51:AC51"/>
    <mergeCell ref="AD51:AF51"/>
    <mergeCell ref="AG51:AI51"/>
    <mergeCell ref="AJ51:AL51"/>
    <mergeCell ref="R51:T51"/>
    <mergeCell ref="U51:W51"/>
    <mergeCell ref="H51:J51"/>
    <mergeCell ref="K51:M51"/>
    <mergeCell ref="N51:P51"/>
    <mergeCell ref="X52:Z52"/>
    <mergeCell ref="R53:T53"/>
    <mergeCell ref="U53:W53"/>
    <mergeCell ref="X53:Z53"/>
    <mergeCell ref="R52:T52"/>
    <mergeCell ref="U52:W52"/>
    <mergeCell ref="X56:Z56"/>
    <mergeCell ref="X57:Z57"/>
    <mergeCell ref="H52:J52"/>
    <mergeCell ref="K52:M52"/>
    <mergeCell ref="N52:P52"/>
    <mergeCell ref="H53:J53"/>
    <mergeCell ref="K53:M53"/>
    <mergeCell ref="N53:P53"/>
    <mergeCell ref="H54:J54"/>
    <mergeCell ref="K54:M54"/>
    <mergeCell ref="N54:P54"/>
    <mergeCell ref="R54:T54"/>
    <mergeCell ref="U54:W54"/>
    <mergeCell ref="X54:Z54"/>
    <mergeCell ref="H55:J55"/>
    <mergeCell ref="K55:M55"/>
    <mergeCell ref="N55:P55"/>
    <mergeCell ref="R55:T55"/>
    <mergeCell ref="H65:J65"/>
    <mergeCell ref="K65:M65"/>
    <mergeCell ref="K64:M64"/>
    <mergeCell ref="N64:P64"/>
    <mergeCell ref="R64:Z64"/>
    <mergeCell ref="AC61:AO61"/>
    <mergeCell ref="H58:M58"/>
    <mergeCell ref="N58:P58"/>
    <mergeCell ref="R58:W58"/>
    <mergeCell ref="X58:Z58"/>
    <mergeCell ref="H59:M59"/>
    <mergeCell ref="N59:P59"/>
    <mergeCell ref="AC62:AO62"/>
    <mergeCell ref="G104:J104"/>
    <mergeCell ref="Q73:T73"/>
    <mergeCell ref="Z72:AK72"/>
    <mergeCell ref="AL72:AO72"/>
    <mergeCell ref="AL67:AO67"/>
    <mergeCell ref="H68:J68"/>
    <mergeCell ref="K68:M68"/>
    <mergeCell ref="N68:P68"/>
    <mergeCell ref="Z68:AB68"/>
    <mergeCell ref="AD68:AK68"/>
    <mergeCell ref="AL68:AO68"/>
    <mergeCell ref="V85:AG85"/>
    <mergeCell ref="V86:AG86"/>
    <mergeCell ref="V87:AG87"/>
    <mergeCell ref="V88:AG88"/>
    <mergeCell ref="AH81:AK81"/>
    <mergeCell ref="AL81:AO81"/>
    <mergeCell ref="F82:L82"/>
    <mergeCell ref="AH82:AK82"/>
    <mergeCell ref="AL84:AO84"/>
    <mergeCell ref="F79:H79"/>
    <mergeCell ref="L79:P79"/>
    <mergeCell ref="H67:J67"/>
    <mergeCell ref="V82:AG82"/>
    <mergeCell ref="G105:J105"/>
    <mergeCell ref="G106:J106"/>
    <mergeCell ref="Q75:T75"/>
    <mergeCell ref="Z74:AK74"/>
    <mergeCell ref="AL74:AO74"/>
    <mergeCell ref="G107:J107"/>
    <mergeCell ref="Z75:AK75"/>
    <mergeCell ref="AL75:AO75"/>
    <mergeCell ref="F80:H80"/>
    <mergeCell ref="AH80:AK80"/>
    <mergeCell ref="AL80:AO80"/>
    <mergeCell ref="K77:P77"/>
    <mergeCell ref="Q77:T77"/>
    <mergeCell ref="F77:H77"/>
    <mergeCell ref="V77:AF78"/>
    <mergeCell ref="F78:H78"/>
    <mergeCell ref="A90:AO90"/>
    <mergeCell ref="AH85:AK85"/>
    <mergeCell ref="AL85:AO85"/>
    <mergeCell ref="AH86:AK86"/>
    <mergeCell ref="AL86:AO86"/>
    <mergeCell ref="F83:I83"/>
    <mergeCell ref="AH84:AK84"/>
    <mergeCell ref="G103:J103"/>
    <mergeCell ref="BC1:BD1"/>
    <mergeCell ref="BC7:BD7"/>
    <mergeCell ref="BC13:BD13"/>
    <mergeCell ref="Z12:AO12"/>
    <mergeCell ref="A4:D4"/>
    <mergeCell ref="A5:D5"/>
    <mergeCell ref="A6:D6"/>
    <mergeCell ref="A7:D7"/>
    <mergeCell ref="A8:D8"/>
    <mergeCell ref="V8:Y8"/>
    <mergeCell ref="V9:Y9"/>
    <mergeCell ref="V10:Y10"/>
    <mergeCell ref="V11:Y11"/>
    <mergeCell ref="Z8:AO8"/>
    <mergeCell ref="Z9:AO9"/>
    <mergeCell ref="E8:R8"/>
    <mergeCell ref="Z10:AO10"/>
    <mergeCell ref="A1:AO1"/>
    <mergeCell ref="A3:R3"/>
    <mergeCell ref="X3:AC3"/>
    <mergeCell ref="AF3:AH3"/>
    <mergeCell ref="AI3:AO3"/>
    <mergeCell ref="X4:AC4"/>
    <mergeCell ref="AF4:AI4"/>
    <mergeCell ref="AD66:AK66"/>
    <mergeCell ref="K67:M67"/>
    <mergeCell ref="AD67:AK67"/>
    <mergeCell ref="U55:W55"/>
    <mergeCell ref="X55:Z55"/>
    <mergeCell ref="Z67:AB67"/>
    <mergeCell ref="H61:J61"/>
    <mergeCell ref="K61:M61"/>
    <mergeCell ref="N61:P61"/>
    <mergeCell ref="R61:W61"/>
    <mergeCell ref="X61:Z61"/>
    <mergeCell ref="N65:P65"/>
    <mergeCell ref="H62:J62"/>
    <mergeCell ref="K62:M62"/>
    <mergeCell ref="N62:P62"/>
    <mergeCell ref="R62:Z62"/>
    <mergeCell ref="H63:J63"/>
    <mergeCell ref="K63:M63"/>
    <mergeCell ref="H56:J56"/>
    <mergeCell ref="K56:M56"/>
    <mergeCell ref="N56:P56"/>
    <mergeCell ref="R56:T56"/>
    <mergeCell ref="U56:W56"/>
    <mergeCell ref="AC64:AO64"/>
    <mergeCell ref="L73:P73"/>
    <mergeCell ref="L75:P75"/>
    <mergeCell ref="A57:G57"/>
    <mergeCell ref="H57:J57"/>
    <mergeCell ref="K57:M57"/>
    <mergeCell ref="N57:P57"/>
    <mergeCell ref="R57:T57"/>
    <mergeCell ref="U57:W57"/>
    <mergeCell ref="N69:P69"/>
    <mergeCell ref="N67:P67"/>
    <mergeCell ref="R60:AO60"/>
    <mergeCell ref="A61:G61"/>
    <mergeCell ref="AL71:AO71"/>
    <mergeCell ref="AL66:AO66"/>
    <mergeCell ref="N63:P63"/>
    <mergeCell ref="R63:Z63"/>
    <mergeCell ref="AC63:AO63"/>
    <mergeCell ref="H64:J64"/>
    <mergeCell ref="L71:P71"/>
    <mergeCell ref="Q71:T71"/>
    <mergeCell ref="Z71:AK71"/>
    <mergeCell ref="H66:J66"/>
    <mergeCell ref="K66:M66"/>
    <mergeCell ref="N66:P66"/>
    <mergeCell ref="V83:AG83"/>
    <mergeCell ref="V89:AG89"/>
    <mergeCell ref="AH89:AK89"/>
    <mergeCell ref="AL89:AO89"/>
    <mergeCell ref="A77:E77"/>
    <mergeCell ref="A78:E78"/>
    <mergeCell ref="A79:E79"/>
    <mergeCell ref="A80:E80"/>
    <mergeCell ref="A82:E82"/>
    <mergeCell ref="A83:E83"/>
    <mergeCell ref="A84:E84"/>
    <mergeCell ref="A87:F87"/>
    <mergeCell ref="A88:F88"/>
    <mergeCell ref="Q79:T79"/>
    <mergeCell ref="AH87:AK87"/>
    <mergeCell ref="AL87:AO87"/>
    <mergeCell ref="AH88:AK88"/>
    <mergeCell ref="AL88:AO88"/>
    <mergeCell ref="AL82:AO82"/>
    <mergeCell ref="AH78:AK79"/>
    <mergeCell ref="AL78:AO79"/>
    <mergeCell ref="AH83:AK83"/>
    <mergeCell ref="AL83:AO83"/>
    <mergeCell ref="V84:AG84"/>
  </mergeCells>
  <conditionalFormatting sqref="B26:K27 T26:W32">
    <cfRule type="notContainsBlanks" dxfId="91" priority="16">
      <formula>LEN(TRIM(B26))&gt;0</formula>
    </cfRule>
  </conditionalFormatting>
  <conditionalFormatting sqref="C67:G67 N67:P67 H68:J68">
    <cfRule type="notContainsBlanks" dxfId="90" priority="14">
      <formula>LEN(TRIM(C67))&gt;0</formula>
    </cfRule>
  </conditionalFormatting>
  <conditionalFormatting sqref="E4:R8">
    <cfRule type="notContainsBlanks" dxfId="89" priority="21">
      <formula>LEN(TRIM(E4))&gt;0</formula>
    </cfRule>
  </conditionalFormatting>
  <conditionalFormatting sqref="H14:K14 U14:X14 AL14:AO14">
    <cfRule type="notContainsBlanks" dxfId="88" priority="17">
      <formula>LEN(TRIM(H14))&gt;0</formula>
    </cfRule>
  </conditionalFormatting>
  <conditionalFormatting sqref="H72:K75">
    <cfRule type="notContainsBlanks" dxfId="87" priority="13">
      <formula>LEN(TRIM(H72))&gt;0</formula>
    </cfRule>
  </conditionalFormatting>
  <conditionalFormatting sqref="H62:M66">
    <cfRule type="notContainsBlanks" dxfId="86" priority="15">
      <formula>LEN(TRIM(H62))&gt;0</formula>
    </cfRule>
  </conditionalFormatting>
  <conditionalFormatting sqref="H37:P38 H39:M40 N39:P49 H42:J42 K42:M49 H44:J49 H50:P57">
    <cfRule type="cellIs" dxfId="85" priority="1" operator="equal">
      <formula>0</formula>
    </cfRule>
  </conditionalFormatting>
  <conditionalFormatting sqref="L21:O21">
    <cfRule type="expression" dxfId="84" priority="45">
      <formula>$A$21=""</formula>
    </cfRule>
    <cfRule type="cellIs" dxfId="83" priority="47" operator="equal">
      <formula>0</formula>
    </cfRule>
  </conditionalFormatting>
  <conditionalFormatting sqref="L24:O25">
    <cfRule type="cellIs" dxfId="82" priority="36" operator="equal">
      <formula>0</formula>
    </cfRule>
  </conditionalFormatting>
  <conditionalFormatting sqref="L22:S22">
    <cfRule type="expression" dxfId="81" priority="26">
      <formula>$L$22=0</formula>
    </cfRule>
  </conditionalFormatting>
  <conditionalFormatting sqref="L23:S23">
    <cfRule type="expression" dxfId="80" priority="25">
      <formula>$L$23=0</formula>
    </cfRule>
  </conditionalFormatting>
  <conditionalFormatting sqref="L20:W20">
    <cfRule type="cellIs" dxfId="79" priority="40" operator="equal">
      <formula>0</formula>
    </cfRule>
  </conditionalFormatting>
  <conditionalFormatting sqref="P24:S25">
    <cfRule type="expression" dxfId="78" priority="35">
      <formula>$L$25=0</formula>
    </cfRule>
  </conditionalFormatting>
  <conditionalFormatting sqref="P21:W21">
    <cfRule type="expression" dxfId="77" priority="44">
      <formula>$A$21=""</formula>
    </cfRule>
  </conditionalFormatting>
  <conditionalFormatting sqref="T22:W22">
    <cfRule type="expression" dxfId="76" priority="24">
      <formula>$T$22=0</formula>
    </cfRule>
  </conditionalFormatting>
  <conditionalFormatting sqref="T23:W23">
    <cfRule type="expression" dxfId="75" priority="23">
      <formula>$T$23=0</formula>
    </cfRule>
  </conditionalFormatting>
  <conditionalFormatting sqref="T24:W25">
    <cfRule type="cellIs" dxfId="74" priority="34" operator="equal">
      <formula>0</formula>
    </cfRule>
  </conditionalFormatting>
  <conditionalFormatting sqref="Z8:AO12">
    <cfRule type="notContainsBlanks" dxfId="73" priority="18">
      <formula>LEN(TRIM(Z8))&gt;0</formula>
    </cfRule>
  </conditionalFormatting>
  <conditionalFormatting sqref="AH80:AK80 AL80:AO81 AL83:AO83 AH83:AK84 AH86:AO87 AH89:AK89">
    <cfRule type="notContainsBlanks" dxfId="72" priority="11">
      <formula>LEN(TRIM(AH80))&gt;0</formula>
    </cfRule>
  </conditionalFormatting>
  <conditionalFormatting sqref="AI3:AO3 AJ4:AO4">
    <cfRule type="notContainsBlanks" dxfId="71" priority="19">
      <formula>LEN(TRIM(AI3))&gt;0</formula>
    </cfRule>
  </conditionalFormatting>
  <conditionalFormatting sqref="AL84">
    <cfRule type="cellIs" dxfId="70" priority="48" stopIfTrue="1" operator="equal">
      <formula>0</formula>
    </cfRule>
  </conditionalFormatting>
  <conditionalFormatting sqref="AL89">
    <cfRule type="cellIs" dxfId="69" priority="30" stopIfTrue="1" operator="equal">
      <formula>0</formula>
    </cfRule>
  </conditionalFormatting>
  <conditionalFormatting sqref="AR33">
    <cfRule type="expression" dxfId="68" priority="41">
      <formula>+AND($L$21&gt;0,$AR$33="OUI")</formula>
    </cfRule>
  </conditionalFormatting>
  <conditionalFormatting sqref="AR38">
    <cfRule type="expression" dxfId="67" priority="29">
      <formula>+AND($L$21&gt;0,$AR$33="OUI")</formula>
    </cfRule>
  </conditionalFormatting>
  <dataValidations count="11">
    <dataValidation allowBlank="1" showInputMessage="1" showErrorMessage="1" prompt="Vous pouvez choisir avec la petite flèche à droite &quot;Salaires heures normales réelles &quot;" sqref="A19:K19" xr:uid="{00000000-0002-0000-0000-000001000000}"/>
    <dataValidation type="list" allowBlank="1" showInputMessage="1" showErrorMessage="1" sqref="F79:H79" xr:uid="{00000000-0002-0000-0000-000002000000}">
      <formula1>"' ,Chèque,Espèce,Virement,Pajemploi +,CESU"</formula1>
    </dataValidation>
    <dataValidation type="list" allowBlank="1" showInputMessage="1" showErrorMessage="1" sqref="F77:H77" xr:uid="{00000000-0002-0000-0000-000003000000}">
      <formula1>"Chèque,Espèce,Virement,Pajemploi +,CESU"</formula1>
    </dataValidation>
    <dataValidation operator="lessThanOrEqual" allowBlank="1" showErrorMessage="1" errorTitle="erreur plafond" error="Le bulletin n'est pas adapté pour les salaires suppérieurs à la première tranche du plafond de la CPAM soit 3377 €" sqref="P34 T33" xr:uid="{00000000-0002-0000-0000-000004000000}">
      <formula1>0</formula1>
      <formula2>0</formula2>
    </dataValidation>
    <dataValidation type="list" allowBlank="1" showInputMessage="1" showErrorMessage="1" sqref="AR3" xr:uid="{00000000-0002-0000-0000-000005000000}">
      <formula1>"Année Complète, Année Incomplète"</formula1>
    </dataValidation>
    <dataValidation type="list" showInputMessage="1" showErrorMessage="1" sqref="AR8" xr:uid="{00000000-0002-0000-0000-000006000000}">
      <formula1>"NON,OUI"</formula1>
    </dataValidation>
    <dataValidation type="list" allowBlank="1" showInputMessage="1" showErrorMessage="1" sqref="X3:AC3" xr:uid="{00000000-0002-0000-0000-000007000000}">
      <formula1>$BJ$2:$BJ$13</formula1>
    </dataValidation>
    <dataValidation type="list" allowBlank="1" showInputMessage="1" showErrorMessage="1" sqref="AR14 AR33" xr:uid="{40FD987C-C1B8-4BF8-9A4D-68936129B475}">
      <formula1>"NON,OUI"</formula1>
    </dataValidation>
    <dataValidation type="list" allowBlank="1" showInputMessage="1" showErrorMessage="1" sqref="B32:K32" xr:uid="{191B6A20-0C6A-425C-AAE9-A93ADBACDAF3}">
      <formula1>"Prime de précarité 10% (CDD)"</formula1>
    </dataValidation>
    <dataValidation type="list" allowBlank="1" showInputMessage="1" showErrorMessage="1" sqref="V87" xr:uid="{8D2F4E0D-E6F4-4714-8C27-DF8C466D914F}">
      <formula1>"Congés pris payés ce mois :,Congés payés dans l'ICCP :"</formula1>
    </dataValidation>
    <dataValidation type="list" allowBlank="1" showInputMessage="1" showErrorMessage="1" sqref="AR38:AS38" xr:uid="{6617F694-4555-47B2-BA37-383136FD8C3E}">
      <formula1>HR_HM</formula1>
    </dataValidation>
  </dataValidations>
  <printOptions horizontalCentered="1" verticalCentered="1"/>
  <pageMargins left="0.23622047244094491" right="0.23622047244094491" top="0.35433070866141736" bottom="0.35433070866141736" header="0.31496062992125984" footer="0.31496062992125984"/>
  <pageSetup paperSize="9" scale="63"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5977D-B1C8-469A-9113-A14BBF0CE47E}">
  <sheetPr>
    <tabColor rgb="FFFF0000"/>
    <pageSetUpPr fitToPage="1"/>
  </sheetPr>
  <dimension ref="A1:K52"/>
  <sheetViews>
    <sheetView showGridLines="0" zoomScale="90" zoomScaleNormal="90" workbookViewId="0">
      <selection activeCell="G32" sqref="G31:G32"/>
    </sheetView>
  </sheetViews>
  <sheetFormatPr baseColWidth="10" defaultRowHeight="12.75" x14ac:dyDescent="0.2"/>
  <cols>
    <col min="1" max="1" width="7.28515625" style="16" customWidth="1"/>
    <col min="2" max="2" width="14.7109375" style="16" customWidth="1"/>
    <col min="3" max="3" width="21.7109375" style="16" customWidth="1"/>
    <col min="4" max="4" width="18.28515625" style="16" customWidth="1"/>
    <col min="5" max="5" width="13.85546875" style="16" customWidth="1"/>
    <col min="6" max="6" width="6.28515625" style="16" customWidth="1"/>
    <col min="7" max="7" width="22.85546875" style="16" customWidth="1"/>
    <col min="8" max="8" width="11.42578125" style="16"/>
    <col min="9" max="9" width="13.5703125" style="16" customWidth="1"/>
    <col min="10" max="10" width="11.42578125" style="16"/>
    <col min="11" max="11" width="38.5703125" style="16" customWidth="1"/>
    <col min="12" max="16384" width="11.42578125" style="16"/>
  </cols>
  <sheetData>
    <row r="1" spans="1:11" x14ac:dyDescent="0.2">
      <c r="C1" s="17"/>
      <c r="D1" s="17"/>
      <c r="E1" s="17" t="s">
        <v>134</v>
      </c>
      <c r="F1" s="17"/>
      <c r="G1" s="17"/>
    </row>
    <row r="2" spans="1:11" x14ac:dyDescent="0.2">
      <c r="C2" s="17"/>
      <c r="D2" s="17"/>
      <c r="E2" s="17"/>
      <c r="F2" s="17"/>
      <c r="G2" s="17"/>
      <c r="I2" s="17"/>
    </row>
    <row r="3" spans="1:11" x14ac:dyDescent="0.2">
      <c r="C3" s="17"/>
      <c r="D3" s="17"/>
      <c r="E3" s="17"/>
      <c r="F3" s="17"/>
      <c r="G3" s="17"/>
      <c r="I3" s="17"/>
      <c r="J3" s="18"/>
      <c r="K3" s="19"/>
    </row>
    <row r="4" spans="1:11" x14ac:dyDescent="0.2">
      <c r="A4" s="20"/>
      <c r="B4" s="72"/>
      <c r="C4" s="21" t="s">
        <v>135</v>
      </c>
      <c r="D4" s="619">
        <v>0</v>
      </c>
      <c r="E4" s="619"/>
      <c r="F4" s="72"/>
      <c r="G4" s="72"/>
      <c r="H4" s="72"/>
      <c r="I4" s="72"/>
    </row>
    <row r="5" spans="1:11" x14ac:dyDescent="0.2">
      <c r="A5" s="20"/>
      <c r="B5" s="72"/>
      <c r="C5" s="21"/>
      <c r="D5" s="72"/>
      <c r="E5" s="72"/>
      <c r="F5" s="72"/>
      <c r="G5" s="72"/>
      <c r="H5" s="72"/>
      <c r="I5" s="72"/>
    </row>
    <row r="6" spans="1:11" x14ac:dyDescent="0.2">
      <c r="D6" s="21" t="s">
        <v>149</v>
      </c>
      <c r="E6" s="22">
        <f>+'Bulletin simple'!H14</f>
        <v>0</v>
      </c>
      <c r="I6" s="18" t="s">
        <v>136</v>
      </c>
      <c r="J6" s="23">
        <f>+'Bulletin simple'!AL14</f>
        <v>0</v>
      </c>
    </row>
    <row r="7" spans="1:11" x14ac:dyDescent="0.2">
      <c r="D7" s="21" t="s">
        <v>137</v>
      </c>
      <c r="E7" s="22">
        <f>+'Bulletin simple'!U14</f>
        <v>0</v>
      </c>
      <c r="F7" s="24"/>
      <c r="G7" s="25"/>
      <c r="H7" s="26"/>
      <c r="I7" s="25"/>
      <c r="J7" s="27"/>
    </row>
    <row r="9" spans="1:11" x14ac:dyDescent="0.2">
      <c r="C9" s="21" t="s">
        <v>2</v>
      </c>
      <c r="D9" s="28">
        <f>+B13</f>
        <v>46054</v>
      </c>
      <c r="F9" s="29"/>
      <c r="G9" s="30">
        <v>44593</v>
      </c>
      <c r="H9" s="31">
        <v>44593</v>
      </c>
    </row>
    <row r="10" spans="1:11" ht="13.5" thickBot="1" x14ac:dyDescent="0.25">
      <c r="C10" s="21"/>
      <c r="D10" s="29"/>
      <c r="F10" s="29"/>
      <c r="G10" s="30"/>
      <c r="H10" s="31"/>
    </row>
    <row r="11" spans="1:11" x14ac:dyDescent="0.2">
      <c r="B11" s="620" t="s">
        <v>25</v>
      </c>
      <c r="C11" s="622" t="s">
        <v>138</v>
      </c>
      <c r="D11" s="622" t="s">
        <v>139</v>
      </c>
      <c r="E11" s="28"/>
      <c r="F11" s="28"/>
      <c r="H11" s="18" t="str">
        <f>+IF(E7=0,"Mensualisation :","Mensualisation (heures &lt; ou = à 45 hrs / sem) :")</f>
        <v>Mensualisation :</v>
      </c>
      <c r="I11" s="32">
        <f>+ROUND(E6*J6,2)</f>
        <v>0</v>
      </c>
    </row>
    <row r="12" spans="1:11" ht="13.5" thickBot="1" x14ac:dyDescent="0.25">
      <c r="B12" s="621"/>
      <c r="C12" s="623"/>
      <c r="D12" s="623"/>
      <c r="F12" s="33"/>
      <c r="H12" s="18" t="s">
        <v>140</v>
      </c>
      <c r="I12" s="32">
        <f>++IF('Bulletin simple'!AR33="NON",ROUND(J6*E7,2),ROUND(J6*E7*('Bulletin simple'!M15+1),2))</f>
        <v>0</v>
      </c>
    </row>
    <row r="13" spans="1:11" ht="15.75" customHeight="1" x14ac:dyDescent="0.2">
      <c r="A13" s="34"/>
      <c r="B13" s="35">
        <f>+'Bulletin simple'!AB20</f>
        <v>46054</v>
      </c>
      <c r="C13" s="172"/>
      <c r="D13" s="173"/>
    </row>
    <row r="14" spans="1:11" ht="15.75" customHeight="1" x14ac:dyDescent="0.2">
      <c r="A14" s="34"/>
      <c r="B14" s="35">
        <f>+'Bulletin simple'!AB21</f>
        <v>46055</v>
      </c>
      <c r="C14" s="172"/>
      <c r="D14" s="174"/>
      <c r="G14" s="36" t="s">
        <v>141</v>
      </c>
      <c r="H14" s="37" t="s">
        <v>142</v>
      </c>
    </row>
    <row r="15" spans="1:11" ht="15.75" customHeight="1" x14ac:dyDescent="0.2">
      <c r="A15" s="34"/>
      <c r="B15" s="35">
        <f>+'Bulletin simple'!AB22</f>
        <v>46056</v>
      </c>
      <c r="C15" s="172"/>
      <c r="D15" s="174"/>
      <c r="G15" s="17"/>
    </row>
    <row r="16" spans="1:11" ht="15.75" customHeight="1" x14ac:dyDescent="0.2">
      <c r="A16" s="34"/>
      <c r="B16" s="35">
        <f>+'Bulletin simple'!AB23</f>
        <v>46057</v>
      </c>
      <c r="C16" s="172"/>
      <c r="D16" s="174"/>
      <c r="G16" s="36" t="str">
        <f>+G14</f>
        <v xml:space="preserve">Retenue sur salaire = </v>
      </c>
      <c r="H16" s="16" t="str">
        <f>+I11&amp;" €  / "&amp;C45&amp;" hrs X "&amp;D45&amp;" hrs"</f>
        <v>0 €  / 0 hrs X 0 hrs</v>
      </c>
    </row>
    <row r="17" spans="1:10" ht="15.75" customHeight="1" x14ac:dyDescent="0.2">
      <c r="A17" s="34"/>
      <c r="B17" s="35">
        <f>+'Bulletin simple'!AB24</f>
        <v>46058</v>
      </c>
      <c r="C17" s="172"/>
      <c r="D17" s="174"/>
      <c r="G17" s="17"/>
    </row>
    <row r="18" spans="1:10" ht="15.75" customHeight="1" x14ac:dyDescent="0.2">
      <c r="A18" s="34"/>
      <c r="B18" s="35">
        <f>+'Bulletin simple'!AB25</f>
        <v>46059</v>
      </c>
      <c r="C18" s="172"/>
      <c r="D18" s="174"/>
      <c r="G18" s="36" t="str">
        <f>+G16</f>
        <v xml:space="preserve">Retenue sur salaire = </v>
      </c>
      <c r="H18" s="38">
        <f>+H26+H29</f>
        <v>0</v>
      </c>
    </row>
    <row r="19" spans="1:10" ht="15.75" customHeight="1" x14ac:dyDescent="0.2">
      <c r="A19" s="34"/>
      <c r="B19" s="35">
        <f>+'Bulletin simple'!AB26</f>
        <v>46060</v>
      </c>
      <c r="C19" s="172"/>
      <c r="D19" s="174"/>
    </row>
    <row r="20" spans="1:10" ht="15.75" customHeight="1" x14ac:dyDescent="0.2">
      <c r="A20" s="34"/>
      <c r="B20" s="35">
        <f>+'Bulletin simple'!AB27</f>
        <v>46061</v>
      </c>
      <c r="C20" s="172"/>
      <c r="D20" s="174"/>
      <c r="G20" s="36" t="s">
        <v>179</v>
      </c>
      <c r="H20" s="22">
        <f>+D45</f>
        <v>0</v>
      </c>
    </row>
    <row r="21" spans="1:10" ht="15.75" customHeight="1" x14ac:dyDescent="0.2">
      <c r="A21" s="34"/>
      <c r="B21" s="35">
        <f>+'Bulletin simple'!AB28</f>
        <v>46062</v>
      </c>
      <c r="C21" s="172"/>
      <c r="D21" s="174"/>
      <c r="G21" s="36" t="s">
        <v>180</v>
      </c>
      <c r="H21" s="16" t="str">
        <f>+H18&amp;" € / "&amp;ROUND(J6,4)&amp;" € = "&amp;I39&amp;" hrs"</f>
        <v>0 € / 0 € = 0 hrs</v>
      </c>
    </row>
    <row r="22" spans="1:10" ht="15.75" customHeight="1" x14ac:dyDescent="0.2">
      <c r="A22" s="34"/>
      <c r="B22" s="35">
        <f>+'Bulletin simple'!AB29</f>
        <v>46063</v>
      </c>
      <c r="C22" s="172"/>
      <c r="D22" s="174"/>
      <c r="G22" s="16" t="s">
        <v>143</v>
      </c>
    </row>
    <row r="23" spans="1:10" ht="15.75" customHeight="1" x14ac:dyDescent="0.2">
      <c r="A23" s="34"/>
      <c r="B23" s="35">
        <f>+'Bulletin simple'!AB30</f>
        <v>46064</v>
      </c>
      <c r="C23" s="172"/>
      <c r="D23" s="174"/>
      <c r="G23" s="18" t="str">
        <f>+D45&amp;"/"&amp;C45&amp;"="</f>
        <v>0/0=</v>
      </c>
      <c r="H23" s="39">
        <f>+IF(C45,IF(C45,D45/C45),0)</f>
        <v>0</v>
      </c>
    </row>
    <row r="24" spans="1:10" ht="15.75" customHeight="1" x14ac:dyDescent="0.2">
      <c r="A24" s="34"/>
      <c r="B24" s="35">
        <f>+'Bulletin simple'!AB31</f>
        <v>46065</v>
      </c>
      <c r="C24" s="172"/>
      <c r="D24" s="174"/>
    </row>
    <row r="25" spans="1:10" ht="15.75" customHeight="1" x14ac:dyDescent="0.2">
      <c r="A25" s="34"/>
      <c r="B25" s="35">
        <f>+'Bulletin simple'!AB32</f>
        <v>46066</v>
      </c>
      <c r="C25" s="172"/>
      <c r="D25" s="174"/>
      <c r="G25" s="188" t="s">
        <v>223</v>
      </c>
      <c r="H25" s="40"/>
      <c r="I25" s="40"/>
      <c r="J25" s="40"/>
    </row>
    <row r="26" spans="1:10" ht="15.75" customHeight="1" x14ac:dyDescent="0.2">
      <c r="A26" s="34"/>
      <c r="B26" s="35">
        <f>+'Bulletin simple'!AB33</f>
        <v>46067</v>
      </c>
      <c r="C26" s="172"/>
      <c r="D26" s="174"/>
      <c r="G26" s="18" t="str">
        <f>+I11&amp;" € x "&amp;ROUND(H23,4)&amp;" ="</f>
        <v>0 € x 0 =</v>
      </c>
      <c r="H26" s="38">
        <f>ROUND(I11*H23,2)</f>
        <v>0</v>
      </c>
    </row>
    <row r="27" spans="1:10" ht="15.75" customHeight="1" x14ac:dyDescent="0.2">
      <c r="A27" s="34"/>
      <c r="B27" s="35">
        <f>+'Bulletin simple'!AB34</f>
        <v>46068</v>
      </c>
      <c r="C27" s="172"/>
      <c r="D27" s="174"/>
    </row>
    <row r="28" spans="1:10" ht="15.75" customHeight="1" x14ac:dyDescent="0.2">
      <c r="A28" s="34"/>
      <c r="B28" s="35">
        <f>+'Bulletin simple'!AB35</f>
        <v>46069</v>
      </c>
      <c r="C28" s="172"/>
      <c r="D28" s="174"/>
      <c r="G28" s="41" t="s">
        <v>144</v>
      </c>
      <c r="H28" s="41"/>
      <c r="I28" s="41"/>
      <c r="J28" s="41"/>
    </row>
    <row r="29" spans="1:10" ht="15.75" customHeight="1" x14ac:dyDescent="0.2">
      <c r="A29" s="34"/>
      <c r="B29" s="35">
        <f>+'Bulletin simple'!AB36</f>
        <v>46070</v>
      </c>
      <c r="C29" s="172"/>
      <c r="D29" s="174"/>
      <c r="F29" s="43"/>
      <c r="G29" s="18" t="str">
        <f>+I12&amp;" € x "&amp;ROUND(H23,4)&amp;" ="</f>
        <v>0 € x 0 =</v>
      </c>
      <c r="H29" s="42">
        <f>+ROUND(I12*H23,2)</f>
        <v>0</v>
      </c>
    </row>
    <row r="30" spans="1:10" ht="15.75" customHeight="1" x14ac:dyDescent="0.2">
      <c r="A30" s="34"/>
      <c r="B30" s="35">
        <f>+'Bulletin simple'!AB37</f>
        <v>46071</v>
      </c>
      <c r="C30" s="172"/>
      <c r="D30" s="174"/>
      <c r="F30" s="43"/>
      <c r="G30" s="43"/>
      <c r="H30" s="43"/>
      <c r="I30" s="43"/>
      <c r="J30" s="43"/>
    </row>
    <row r="31" spans="1:10" ht="15.75" customHeight="1" x14ac:dyDescent="0.2">
      <c r="A31" s="34"/>
      <c r="B31" s="35">
        <f>+'Bulletin simple'!AB38</f>
        <v>46072</v>
      </c>
      <c r="C31" s="172"/>
      <c r="D31" s="174"/>
      <c r="F31" s="43"/>
      <c r="G31" s="44" t="s">
        <v>145</v>
      </c>
      <c r="H31" s="45"/>
      <c r="I31" s="45"/>
      <c r="J31" s="46"/>
    </row>
    <row r="32" spans="1:10" ht="15.75" customHeight="1" x14ac:dyDescent="0.2">
      <c r="A32" s="34"/>
      <c r="B32" s="35">
        <f>+'Bulletin simple'!AB39</f>
        <v>46073</v>
      </c>
      <c r="C32" s="172"/>
      <c r="D32" s="174"/>
      <c r="F32" s="43"/>
      <c r="G32" s="47"/>
      <c r="H32" s="48" t="str">
        <f>+E7&amp;" / ( "&amp;E6&amp;" + "&amp;E7&amp;" ) ="</f>
        <v>0 / ( 0 + 0 ) =</v>
      </c>
      <c r="I32" s="47">
        <f>+ROUND(IF(OR(E6,E7),E7/(E7+E6)),6)</f>
        <v>0</v>
      </c>
      <c r="J32" s="43"/>
    </row>
    <row r="33" spans="1:11" ht="15.75" customHeight="1" x14ac:dyDescent="0.2">
      <c r="A33" s="34"/>
      <c r="B33" s="35">
        <f>+'Bulletin simple'!AB40</f>
        <v>46074</v>
      </c>
      <c r="C33" s="172"/>
      <c r="D33" s="174"/>
      <c r="F33" s="43"/>
      <c r="G33" s="49"/>
      <c r="H33" s="49"/>
      <c r="I33" s="49"/>
      <c r="J33" s="43"/>
    </row>
    <row r="34" spans="1:11" ht="15.75" customHeight="1" x14ac:dyDescent="0.2">
      <c r="A34" s="34"/>
      <c r="B34" s="35">
        <f>+'Bulletin simple'!AB41</f>
        <v>46075</v>
      </c>
      <c r="C34" s="172"/>
      <c r="D34" s="174"/>
      <c r="F34" s="43"/>
      <c r="G34" s="50" t="s">
        <v>224</v>
      </c>
      <c r="H34" s="50"/>
      <c r="I34" s="50"/>
      <c r="J34" s="51"/>
    </row>
    <row r="35" spans="1:11" ht="15.75" customHeight="1" x14ac:dyDescent="0.2">
      <c r="A35" s="34"/>
      <c r="B35" s="35">
        <f>+'Bulletin simple'!AB42</f>
        <v>46076</v>
      </c>
      <c r="C35" s="172"/>
      <c r="D35" s="174"/>
      <c r="F35" s="43"/>
      <c r="G35" s="47"/>
      <c r="H35" s="48" t="str">
        <f>+E6&amp;" / ( "&amp;E6&amp;" + "&amp;E7&amp;" ) ="</f>
        <v>0 / ( 0 + 0 ) =</v>
      </c>
      <c r="I35" s="47">
        <f>ROUND(IF(OR(E6,E7),+E6/(E7+E6)),6)</f>
        <v>0</v>
      </c>
      <c r="J35" s="43"/>
    </row>
    <row r="36" spans="1:11" ht="15.75" customHeight="1" x14ac:dyDescent="0.2">
      <c r="A36" s="34"/>
      <c r="B36" s="35">
        <f>+'Bulletin simple'!AB43</f>
        <v>46077</v>
      </c>
      <c r="C36" s="172"/>
      <c r="D36" s="174"/>
      <c r="F36" s="43"/>
    </row>
    <row r="37" spans="1:11" ht="15.75" customHeight="1" x14ac:dyDescent="0.2">
      <c r="A37" s="34"/>
      <c r="B37" s="35">
        <f>+'Bulletin simple'!AB44</f>
        <v>46078</v>
      </c>
      <c r="C37" s="172"/>
      <c r="D37" s="174"/>
      <c r="F37" s="43"/>
      <c r="G37" s="188" t="s">
        <v>225</v>
      </c>
      <c r="H37" s="51"/>
      <c r="I37" s="51"/>
      <c r="J37" s="40"/>
    </row>
    <row r="38" spans="1:11" ht="15.75" customHeight="1" x14ac:dyDescent="0.2">
      <c r="A38" s="34"/>
      <c r="B38" s="35">
        <f>+'Bulletin simple'!AB45</f>
        <v>46079</v>
      </c>
      <c r="C38" s="172"/>
      <c r="D38" s="174"/>
      <c r="F38" s="43"/>
      <c r="H38" s="18" t="str">
        <f>+D45&amp;" hrs x "&amp;I35&amp;" ="</f>
        <v>0 hrs x 0 =</v>
      </c>
      <c r="I38" s="52">
        <f>+ROUND(D45*I35,2)</f>
        <v>0</v>
      </c>
      <c r="J38" s="16" t="s">
        <v>174</v>
      </c>
    </row>
    <row r="39" spans="1:11" ht="15.75" customHeight="1" x14ac:dyDescent="0.2">
      <c r="A39" s="34"/>
      <c r="B39" s="35">
        <f>+'Bulletin simple'!AB46</f>
        <v>46080</v>
      </c>
      <c r="C39" s="172"/>
      <c r="D39" s="174"/>
      <c r="F39" s="43"/>
      <c r="G39" s="43"/>
      <c r="H39" s="21" t="str">
        <f>+E6&amp;" hrs / "&amp;C45&amp;" hrs X "&amp;D45&amp;" hrs ="</f>
        <v>0 hrs / 0 hrs X 0 hrs =</v>
      </c>
      <c r="I39" s="52">
        <f>+ROUND(IF(C45,E6/C45*D45),2)</f>
        <v>0</v>
      </c>
      <c r="J39" s="20" t="s">
        <v>175</v>
      </c>
    </row>
    <row r="40" spans="1:11" ht="15.75" customHeight="1" x14ac:dyDescent="0.2">
      <c r="A40" s="34"/>
      <c r="B40" s="35">
        <f>+'Bulletin simple'!AB47</f>
        <v>46081</v>
      </c>
      <c r="C40" s="172"/>
      <c r="D40" s="174"/>
      <c r="F40" s="43"/>
    </row>
    <row r="41" spans="1:11" ht="15.75" customHeight="1" x14ac:dyDescent="0.2">
      <c r="A41" s="34"/>
      <c r="B41" s="35" t="str">
        <f>+'Bulletin simple'!AB48</f>
        <v/>
      </c>
      <c r="C41" s="172"/>
      <c r="D41" s="174"/>
      <c r="F41" s="43"/>
    </row>
    <row r="42" spans="1:11" ht="15.75" customHeight="1" x14ac:dyDescent="0.2">
      <c r="A42" s="34"/>
      <c r="B42" s="35" t="str">
        <f>+'Bulletin simple'!AB49</f>
        <v/>
      </c>
      <c r="C42" s="172"/>
      <c r="D42" s="174"/>
      <c r="F42" s="43"/>
      <c r="G42" s="41" t="s">
        <v>146</v>
      </c>
      <c r="H42" s="46"/>
      <c r="I42" s="46"/>
      <c r="J42" s="46"/>
    </row>
    <row r="43" spans="1:11" ht="15.75" customHeight="1" thickBot="1" x14ac:dyDescent="0.25">
      <c r="A43" s="34"/>
      <c r="B43" s="35" t="str">
        <f>+'Bulletin simple'!AB50</f>
        <v/>
      </c>
      <c r="C43" s="175"/>
      <c r="D43" s="176"/>
      <c r="F43" s="34"/>
      <c r="H43" s="18" t="str">
        <f>+D45&amp;" hrs x "&amp;I32&amp;" ="</f>
        <v>0 hrs x 0 =</v>
      </c>
      <c r="I43" s="52">
        <f>+ROUND(D45*I32,2)</f>
        <v>0</v>
      </c>
      <c r="J43" s="16" t="s">
        <v>174</v>
      </c>
    </row>
    <row r="44" spans="1:11" ht="13.5" thickBot="1" x14ac:dyDescent="0.25">
      <c r="G44" s="34"/>
      <c r="H44" s="21" t="str">
        <f>+E7&amp;" hrs / "&amp;C45&amp;" hrs X "&amp;D45&amp;" hrs ="</f>
        <v>0 hrs / 0 hrs X 0 hrs =</v>
      </c>
      <c r="I44" s="52">
        <f>+ROUND(IF(C45,E7/C45*D45),2)</f>
        <v>0</v>
      </c>
      <c r="J44" s="20" t="s">
        <v>175</v>
      </c>
      <c r="K44" s="34"/>
    </row>
    <row r="45" spans="1:11" ht="13.5" thickBot="1" x14ac:dyDescent="0.25">
      <c r="B45" s="54" t="s">
        <v>147</v>
      </c>
      <c r="C45" s="55">
        <f>SUM(C13:C43)</f>
        <v>0</v>
      </c>
      <c r="D45" s="55">
        <f>SUM(D13:D43)</f>
        <v>0</v>
      </c>
      <c r="E45" s="21"/>
      <c r="F45" s="34"/>
      <c r="G45" s="34"/>
      <c r="H45" s="34"/>
      <c r="I45" s="25"/>
      <c r="J45" s="53"/>
    </row>
    <row r="46" spans="1:11" x14ac:dyDescent="0.2">
      <c r="B46" s="34"/>
      <c r="C46" s="34"/>
      <c r="D46" s="25"/>
      <c r="E46" s="34">
        <v>31</v>
      </c>
      <c r="G46" s="34"/>
      <c r="H46" s="34"/>
      <c r="I46" s="34"/>
      <c r="J46" s="34"/>
      <c r="K46" s="34"/>
    </row>
    <row r="47" spans="1:11" x14ac:dyDescent="0.2">
      <c r="B47" s="34"/>
      <c r="C47" s="34"/>
      <c r="D47" s="25" t="s">
        <v>148</v>
      </c>
      <c r="E47" s="34">
        <v>0</v>
      </c>
      <c r="G47" s="34"/>
      <c r="H47" s="34"/>
      <c r="I47" s="34"/>
      <c r="J47" s="25"/>
      <c r="K47" s="56"/>
    </row>
    <row r="48" spans="1:11" x14ac:dyDescent="0.2">
      <c r="G48" s="34"/>
      <c r="H48" s="34"/>
      <c r="I48" s="34"/>
      <c r="J48" s="34"/>
      <c r="K48" s="34"/>
    </row>
    <row r="49" spans="7:11" x14ac:dyDescent="0.2">
      <c r="G49" s="34"/>
      <c r="H49" s="34"/>
      <c r="I49" s="34"/>
      <c r="J49" s="25"/>
      <c r="K49" s="57"/>
    </row>
    <row r="50" spans="7:11" x14ac:dyDescent="0.2">
      <c r="I50" s="43"/>
      <c r="J50" s="43"/>
      <c r="K50" s="43"/>
    </row>
    <row r="52" spans="7:11" x14ac:dyDescent="0.2">
      <c r="G52" s="58"/>
    </row>
  </sheetData>
  <sheetProtection algorithmName="SHA-512" hashValue="1nY/00uphQhWYzruwXVV9zk2MLDXHm1TV7wF105Aa4wOKb3Itl/9g64KYLG7eHof2M4bFVk/UD0sjr/HB1VWUA==" saltValue="KZNYuWNkrbNyS8kik2pcFg==" spinCount="100000" sheet="1" objects="1" scenarios="1" formatCells="0" formatColumns="0" formatRows="0" insertColumns="0" insertRows="0" insertHyperlinks="0" sort="0" autoFilter="0" pivotTables="0"/>
  <mergeCells count="4">
    <mergeCell ref="D4:E4"/>
    <mergeCell ref="B11:B12"/>
    <mergeCell ref="C11:C12"/>
    <mergeCell ref="D11:D12"/>
  </mergeCells>
  <conditionalFormatting sqref="C13:D43">
    <cfRule type="notContainsBlanks" dxfId="66" priority="1">
      <formula>LEN(TRIM(C13))&gt;0</formula>
    </cfRule>
  </conditionalFormatting>
  <conditionalFormatting sqref="E14:F18">
    <cfRule type="expression" dxfId="65" priority="16">
      <formula>$E$7&gt;0</formula>
    </cfRule>
  </conditionalFormatting>
  <conditionalFormatting sqref="G14:J21">
    <cfRule type="expression" dxfId="64" priority="9">
      <formula>$E$7&gt;0</formula>
    </cfRule>
  </conditionalFormatting>
  <conditionalFormatting sqref="G22:J44">
    <cfRule type="expression" dxfId="63" priority="11">
      <formula>$E$7=0</formula>
    </cfRule>
  </conditionalFormatting>
  <conditionalFormatting sqref="H12">
    <cfRule type="expression" dxfId="62" priority="18">
      <formula>$E$7=0</formula>
    </cfRule>
  </conditionalFormatting>
  <conditionalFormatting sqref="I12">
    <cfRule type="cellIs" dxfId="61" priority="10" operator="equal">
      <formula>0</formula>
    </cfRule>
  </conditionalFormatting>
  <conditionalFormatting sqref="I38:I39">
    <cfRule type="expression" dxfId="60" priority="6">
      <formula>$K$3="Méthode 1"</formula>
    </cfRule>
  </conditionalFormatting>
  <conditionalFormatting sqref="I43:I44">
    <cfRule type="expression" dxfId="59" priority="5">
      <formula>$K$3="Méthode 1"</formula>
    </cfRule>
  </conditionalFormatting>
  <conditionalFormatting sqref="I44">
    <cfRule type="expression" dxfId="58" priority="3">
      <formula>$E$7=0</formula>
    </cfRule>
  </conditionalFormatting>
  <pageMargins left="0.7" right="0.7" top="0.75" bottom="0.75" header="0.3" footer="0.3"/>
  <pageSetup paperSize="9" scale="73" fitToHeight="0" orientation="landscape"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18A47-4823-441F-9FBB-3982C79F6364}">
  <sheetPr>
    <tabColor theme="5" tint="-0.249977111117893"/>
  </sheetPr>
  <dimension ref="A1:AC58"/>
  <sheetViews>
    <sheetView showGridLines="0" zoomScaleNormal="100" workbookViewId="0">
      <selection activeCell="B9" sqref="B9"/>
    </sheetView>
  </sheetViews>
  <sheetFormatPr baseColWidth="10" defaultColWidth="11.42578125" defaultRowHeight="15" x14ac:dyDescent="0.25"/>
  <cols>
    <col min="1" max="1" width="67.7109375" style="13" customWidth="1"/>
    <col min="2" max="2" width="22.7109375" style="13" customWidth="1"/>
    <col min="3" max="6" width="11.42578125" style="13"/>
    <col min="7" max="7" width="15.7109375" style="13" customWidth="1"/>
    <col min="8" max="8" width="11.42578125" style="13"/>
    <col min="9" max="9" width="11" style="13" customWidth="1"/>
    <col min="10" max="25" width="11.42578125" style="13"/>
    <col min="26" max="33" width="0" style="13" hidden="1" customWidth="1"/>
    <col min="34" max="16384" width="11.42578125" style="13"/>
  </cols>
  <sheetData>
    <row r="1" spans="1:29" ht="18" x14ac:dyDescent="0.25">
      <c r="A1" s="59" t="s">
        <v>150</v>
      </c>
      <c r="B1" s="60"/>
    </row>
    <row r="2" spans="1:29" x14ac:dyDescent="0.25">
      <c r="A2" s="15"/>
    </row>
    <row r="3" spans="1:29" x14ac:dyDescent="0.25">
      <c r="A3" s="15" t="str">
        <f>+"ENFANT : "&amp;'Bulletin simple'!AI3</f>
        <v xml:space="preserve">ENFANT : </v>
      </c>
    </row>
    <row r="5" spans="1:29" ht="18" x14ac:dyDescent="0.25">
      <c r="A5" s="61" t="s">
        <v>151</v>
      </c>
      <c r="B5" s="190">
        <f>+'Bulletin simple'!X3</f>
        <v>46054</v>
      </c>
    </row>
    <row r="6" spans="1:29" x14ac:dyDescent="0.25">
      <c r="A6" s="15"/>
    </row>
    <row r="7" spans="1:29" ht="15.75" x14ac:dyDescent="0.25">
      <c r="A7" s="189" t="str">
        <f>+"Période du "&amp;TEXT('Bulletin simple'!X5,"jj/mm/aaaa")&amp;" au "&amp;TEXT('Bulletin simple'!AB5,"jj/mm/aaaa")</f>
        <v>Période du 01/02/2026 au 28/02/2026</v>
      </c>
    </row>
    <row r="8" spans="1:29" x14ac:dyDescent="0.25">
      <c r="A8" s="15"/>
    </row>
    <row r="9" spans="1:29" x14ac:dyDescent="0.25">
      <c r="A9" s="15" t="s">
        <v>152</v>
      </c>
      <c r="B9" s="62">
        <f>+EOMONTH('Bulletin simple'!X3,0)</f>
        <v>46081</v>
      </c>
      <c r="AB9" s="63" t="s">
        <v>171</v>
      </c>
      <c r="AC9" s="13">
        <f>+ROUNDUP(('Déclaration Pajemploi'!H13*'Déclaration Pajemploi'!H14/12),0)</f>
        <v>0</v>
      </c>
    </row>
    <row r="10" spans="1:29" x14ac:dyDescent="0.25">
      <c r="A10" s="15"/>
      <c r="B10" s="62"/>
      <c r="AB10" s="63"/>
    </row>
    <row r="11" spans="1:29" x14ac:dyDescent="0.25">
      <c r="A11" s="15" t="s">
        <v>230</v>
      </c>
      <c r="B11" s="197" t="str">
        <f>+IF(B13&gt;0,"OUI","NON")</f>
        <v>NON</v>
      </c>
      <c r="AB11" s="63"/>
    </row>
    <row r="12" spans="1:29" x14ac:dyDescent="0.25">
      <c r="A12" s="15"/>
      <c r="B12" s="62"/>
      <c r="D12" s="125"/>
      <c r="E12" s="125"/>
      <c r="J12" s="125"/>
      <c r="K12" s="125"/>
      <c r="L12" s="125"/>
      <c r="M12" s="125"/>
      <c r="AB12" s="63"/>
    </row>
    <row r="13" spans="1:29" x14ac:dyDescent="0.25">
      <c r="A13" s="15" t="s">
        <v>231</v>
      </c>
      <c r="B13" s="195">
        <f>+'Bulletin simple'!L22</f>
        <v>0</v>
      </c>
      <c r="D13" s="125"/>
      <c r="E13" s="125"/>
      <c r="F13" s="125"/>
      <c r="G13" s="126" t="s">
        <v>153</v>
      </c>
      <c r="H13" s="177"/>
      <c r="I13" s="125" t="s">
        <v>154</v>
      </c>
      <c r="J13" s="125"/>
      <c r="K13" s="125"/>
      <c r="L13" s="125"/>
      <c r="M13" s="125"/>
      <c r="AB13" s="63"/>
    </row>
    <row r="14" spans="1:29" x14ac:dyDescent="0.25">
      <c r="A14" s="15"/>
      <c r="B14" s="62"/>
      <c r="D14" s="125"/>
      <c r="E14" s="125"/>
      <c r="F14" s="125"/>
      <c r="G14" s="126" t="s">
        <v>226</v>
      </c>
      <c r="H14" s="177"/>
      <c r="I14" s="125" t="s">
        <v>156</v>
      </c>
      <c r="J14" s="125"/>
      <c r="K14" s="125"/>
      <c r="L14" s="125"/>
      <c r="M14" s="125"/>
      <c r="AB14" s="63"/>
    </row>
    <row r="15" spans="1:29" x14ac:dyDescent="0.25">
      <c r="A15" s="15" t="s">
        <v>232</v>
      </c>
      <c r="B15" s="196" t="e">
        <f>+IF(B17&gt;0,"OUI","NON")</f>
        <v>#DIV/0!</v>
      </c>
      <c r="G15" s="126" t="s">
        <v>166</v>
      </c>
      <c r="H15" s="177"/>
      <c r="I15" s="125" t="s">
        <v>167</v>
      </c>
      <c r="AB15" s="63"/>
    </row>
    <row r="16" spans="1:29" x14ac:dyDescent="0.25">
      <c r="A16" s="15"/>
      <c r="B16" s="62"/>
      <c r="D16" s="125"/>
      <c r="E16" s="125"/>
      <c r="F16" s="125"/>
      <c r="G16" s="125"/>
      <c r="H16" s="125"/>
      <c r="I16" s="125"/>
      <c r="J16" s="125"/>
      <c r="K16" s="127" t="str">
        <f>+"Nbre de jours d'activités mensuels = Nbre jrs/sem (soit "&amp;H14&amp;" jrs) X Nbre de sem/année (soit "&amp;H13&amp;" sem) / 12 = "&amp;AC9&amp;" jrs"</f>
        <v>Nbre de jours d'activités mensuels = Nbre jrs/sem (soit  jrs) X Nbre de sem/année (soit  sem) / 12 = 0 jrs</v>
      </c>
      <c r="L16" s="125"/>
      <c r="M16" s="125"/>
      <c r="AB16" s="63"/>
    </row>
    <row r="17" spans="1:29" x14ac:dyDescent="0.25">
      <c r="A17" s="15" t="s">
        <v>233</v>
      </c>
      <c r="B17" s="195" t="e">
        <f>IF(AND(ROUNDUP(('Bulletin simple'!T20+'Bulletin simple'!T21+'Bulletin simple'!T23+'Bulletin simple'!T25)/('Bulletin simple'!AL14*(1+'Bulletin simple'!M15)),2)&gt;0,ROUNDUP(('Bulletin simple'!T20+'Bulletin simple'!T21+'Bulletin simple'!T23+'Bulletin simple'!T25)/('Bulletin simple'!AL14*(1+'Bulletin simple'!M15)),2)&lt;=1),ROUNDUP(('Bulletin simple'!T20+'Bulletin simple'!T21+'Bulletin simple'!T23+'Bulletin simple'!T25)/('Bulletin simple'!AL14*(1+'Bulletin simple'!M15)),0),ROUNDDOWN(('Bulletin simple'!T20+'Bulletin simple'!T21+'Bulletin simple'!T23+'Bulletin simple'!T25)/('Bulletin simple'!AL14*(1+'Bulletin simple'!M15)),0))</f>
        <v>#DIV/0!</v>
      </c>
      <c r="D17" s="125"/>
      <c r="E17" s="125"/>
      <c r="F17" s="125"/>
      <c r="G17" s="125"/>
      <c r="H17" s="125"/>
      <c r="I17" s="125"/>
      <c r="J17" s="125"/>
      <c r="K17" s="125"/>
      <c r="L17" s="125"/>
      <c r="M17" s="125"/>
      <c r="AB17" s="63"/>
    </row>
    <row r="18" spans="1:29" x14ac:dyDescent="0.25">
      <c r="A18" s="162" t="str">
        <f>"Détail du calcul : ("&amp;ROUND('Bulletin simple'!T20,2)&amp;" € + "&amp;ROUND('Bulletin simple'!T21,2)&amp;" € + "&amp;ROUND('Bulletin simple'!T23,2)&amp;" € - "&amp;ROUND('Bulletin simple'!T25*-1,2)&amp;" €) / "&amp;ROUND('Bulletin simple'!AL14*(1+'Bulletin simple'!M15),4)&amp;" €"</f>
        <v>Détail du calcul : (0 € + 0 € + 0 € - 0 €) / 0 €</v>
      </c>
      <c r="B18" s="62"/>
      <c r="D18" s="125"/>
      <c r="E18" s="125"/>
      <c r="F18" s="125"/>
      <c r="G18" s="125"/>
      <c r="H18" s="125"/>
      <c r="I18" s="125"/>
      <c r="J18" s="125"/>
      <c r="K18" s="125"/>
      <c r="L18" s="125"/>
      <c r="M18" s="125"/>
      <c r="AB18" s="63"/>
    </row>
    <row r="19" spans="1:29" x14ac:dyDescent="0.25">
      <c r="A19" s="15"/>
      <c r="B19" s="62"/>
      <c r="D19" s="125"/>
      <c r="E19" s="125"/>
      <c r="F19" s="125"/>
      <c r="G19" s="126" t="s">
        <v>157</v>
      </c>
      <c r="H19" s="128">
        <f>+IFERROR(IF(H20="",+ROUNDDOWN(AC9*'Retenue sur salaire'!D45/'Retenue sur salaire'!C45,0),H20),0)</f>
        <v>0</v>
      </c>
      <c r="I19" s="125" t="s">
        <v>156</v>
      </c>
      <c r="J19" s="125"/>
      <c r="K19" s="125"/>
      <c r="L19" s="125"/>
      <c r="M19" s="125"/>
      <c r="AB19" s="63"/>
    </row>
    <row r="20" spans="1:29" x14ac:dyDescent="0.25">
      <c r="A20" s="15" t="s">
        <v>234</v>
      </c>
      <c r="B20" s="198">
        <f>+'Bulletin simple'!AL15</f>
        <v>0</v>
      </c>
      <c r="D20" s="125"/>
      <c r="E20" s="125"/>
      <c r="F20" s="125"/>
      <c r="G20" s="126" t="s">
        <v>168</v>
      </c>
      <c r="H20" s="177"/>
      <c r="I20" s="125"/>
      <c r="J20" s="125"/>
      <c r="K20" s="125"/>
      <c r="L20" s="125"/>
      <c r="M20" s="125"/>
      <c r="AB20" s="63"/>
    </row>
    <row r="21" spans="1:29" x14ac:dyDescent="0.25">
      <c r="A21" s="15"/>
      <c r="B21" s="62"/>
      <c r="D21" s="125"/>
      <c r="E21" s="125"/>
      <c r="F21" s="125"/>
      <c r="G21" s="125"/>
      <c r="H21" s="125"/>
      <c r="I21" s="125"/>
      <c r="J21" s="125"/>
      <c r="K21" s="125"/>
      <c r="L21" s="125"/>
      <c r="M21" s="127" t="str">
        <f>IF(H20="",+"Nbre de jrs à déduire = Nbre de jrs d'act. Mensuels (soit "&amp;AC9&amp;" jrs) X Nbre de jrs d'absence (soit "&amp;'Retenue sur salaire'!D46&amp;" jrs) / Nbre de jrs potentiels (soit "&amp;'Retenue sur salaire'!C46&amp;" jrs) = "&amp;H19&amp;" jrs","")</f>
        <v>Nbre de jrs à déduire = Nbre de jrs d'act. Mensuels (soit 0 jrs) X Nbre de jrs d'absence (soit  jrs) / Nbre de jrs potentiels (soit  jrs) = 0 jrs</v>
      </c>
      <c r="AB21" s="63"/>
    </row>
    <row r="22" spans="1:29" x14ac:dyDescent="0.25">
      <c r="A22" s="15" t="s">
        <v>235</v>
      </c>
      <c r="B22" s="196" t="str">
        <f>+IF(B24&gt;0,"OUI","NON")</f>
        <v>NON</v>
      </c>
      <c r="D22" s="125"/>
      <c r="E22" s="125"/>
      <c r="F22" s="125"/>
      <c r="G22" s="125"/>
      <c r="H22" s="125"/>
      <c r="I22" s="125"/>
      <c r="J22" s="125"/>
      <c r="K22" s="125"/>
      <c r="L22" s="125"/>
      <c r="M22" s="125"/>
      <c r="AB22" s="63"/>
    </row>
    <row r="23" spans="1:29" x14ac:dyDescent="0.25">
      <c r="A23" s="15"/>
      <c r="B23" s="62"/>
      <c r="D23" s="125"/>
      <c r="E23" s="125"/>
      <c r="F23" s="125"/>
      <c r="G23" s="125"/>
      <c r="H23" s="125"/>
      <c r="I23" s="125"/>
      <c r="J23" s="125"/>
      <c r="K23" s="125"/>
      <c r="L23" s="125"/>
      <c r="M23" s="125"/>
      <c r="AB23" s="63"/>
    </row>
    <row r="24" spans="1:29" x14ac:dyDescent="0.25">
      <c r="A24" s="15" t="s">
        <v>236</v>
      </c>
      <c r="B24" s="199">
        <f>+H32</f>
        <v>0</v>
      </c>
      <c r="D24" s="125"/>
      <c r="E24" s="125"/>
      <c r="F24" s="125"/>
      <c r="G24" s="125"/>
      <c r="H24" s="125"/>
      <c r="I24" s="125"/>
      <c r="J24" s="125"/>
      <c r="K24" s="125"/>
      <c r="L24" s="125"/>
      <c r="M24" s="125"/>
      <c r="AB24" s="63"/>
    </row>
    <row r="25" spans="1:29" x14ac:dyDescent="0.25">
      <c r="A25" s="15"/>
      <c r="B25" s="62"/>
      <c r="D25" s="125"/>
      <c r="E25" s="125"/>
      <c r="F25" s="125"/>
      <c r="G25" s="126" t="s">
        <v>169</v>
      </c>
      <c r="H25" s="128">
        <f>IFERROR(+IF(H26="",ROUNDUP(+('Bulletin simple'!T29+'Bulletin simple'!T26)/'Bulletin simple'!AL14/'Déclaration Pajemploi'!AC30,0),H26),0)</f>
        <v>0</v>
      </c>
      <c r="I25" s="125" t="s">
        <v>156</v>
      </c>
      <c r="J25" s="125"/>
      <c r="K25" s="125"/>
      <c r="L25" s="125"/>
      <c r="M25" s="125"/>
      <c r="AB25" s="63"/>
    </row>
    <row r="26" spans="1:29" x14ac:dyDescent="0.25">
      <c r="A26" s="15" t="s">
        <v>155</v>
      </c>
      <c r="B26" s="200">
        <f>+IF('Bulletin simple'!AR14="OUI",COUNT('Bulletin simple'!AD20:AF50),ROUNDUP(('Déclaration Pajemploi'!H13*'Déclaration Pajemploi'!H14/12)-H19+H25,0))</f>
        <v>0</v>
      </c>
      <c r="D26" s="125"/>
      <c r="E26" s="125"/>
      <c r="F26" s="125"/>
      <c r="G26" s="126" t="s">
        <v>168</v>
      </c>
      <c r="H26" s="177"/>
      <c r="I26" s="125"/>
      <c r="J26" s="125"/>
      <c r="K26" s="125"/>
      <c r="L26" s="125"/>
      <c r="M26" s="125"/>
      <c r="AB26" s="63"/>
    </row>
    <row r="27" spans="1:29" x14ac:dyDescent="0.25">
      <c r="A27" s="15"/>
      <c r="B27" s="62"/>
      <c r="D27" s="125"/>
      <c r="E27" s="125"/>
      <c r="F27" s="125"/>
      <c r="G27" s="125"/>
      <c r="I27" s="125"/>
      <c r="J27" s="125"/>
      <c r="K27" s="125"/>
      <c r="L27" s="125"/>
      <c r="M27" s="127" t="str">
        <f>IF(H26="",+"Nbre jrs à rajouter = salaire régularisation et autres (soit "&amp;'Bulletin simple'!T28+'Bulletin simple'!T26&amp;" €) / taux horaire brut (soit "&amp;'Bulletin simple'!AL14&amp;" € ) / horaires sem. moyen (soit "&amp;H15&amp;" hrs / "&amp;H14&amp;" jrs) = "&amp;H25&amp;" jrs","")</f>
        <v>Nbre jrs à rajouter = salaire régularisation et autres (soit 0 €) / taux horaire brut (soit  € ) / horaires sem. moyen (soit  hrs /  jrs) = 0 jrs</v>
      </c>
      <c r="AB27" s="63"/>
    </row>
    <row r="28" spans="1:29" x14ac:dyDescent="0.25">
      <c r="A28" s="15" t="s">
        <v>237</v>
      </c>
      <c r="B28" s="64" t="e">
        <f>+('Bulletin simple'!T19+'Bulletin simple'!T24+'Bulletin simple'!T26+'Bulletin simple'!T27+'Bulletin simple'!T28+'Bulletin simple'!T29)/'Bulletin simple'!AL14</f>
        <v>#DIV/0!</v>
      </c>
      <c r="D28" s="125"/>
      <c r="E28" s="125"/>
      <c r="F28" s="125"/>
      <c r="G28" s="125"/>
      <c r="H28" s="125"/>
      <c r="I28" s="125"/>
      <c r="J28" s="125"/>
      <c r="K28" s="125"/>
      <c r="L28" s="125"/>
      <c r="M28" s="125"/>
      <c r="AB28" s="63"/>
    </row>
    <row r="29" spans="1:29" x14ac:dyDescent="0.25">
      <c r="A29" s="162" t="str">
        <f>"Détail du calcul : ("&amp;ROUND('Bulletin simple'!T19,2)&amp;" € + "&amp;ROUND('Bulletin simple'!T24,2)&amp;" € + "&amp;ROUND('Bulletin simple'!T26,2)&amp;" € + "&amp;ROUND('Bulletin simple'!T27,2)&amp;" € + "&amp;ROUND('Bulletin simple'!T28,2)&amp;" € + "&amp;ROUND('Bulletin simple'!T29,2)&amp;" €) / "&amp;ROUND('Bulletin simple'!AL14,4)&amp;" €"</f>
        <v>Détail du calcul : (0 € + 0 € + 0 € + 0 € + 0 € + 0 €) / 0 €</v>
      </c>
      <c r="B29" s="71"/>
      <c r="D29" s="125"/>
      <c r="E29" s="125"/>
      <c r="F29" s="129" t="str">
        <f>+" Total des jours d'activité pour ce mois = "&amp;AC9&amp;" jrs - "&amp;H19&amp;" jrs + "&amp;H25&amp;" jrs = "&amp;AC9-H19+H25&amp;" jrs"</f>
        <v xml:space="preserve"> Total des jours d'activité pour ce mois = 0 jrs - 0 jrs + 0 jrs = 0 jrs</v>
      </c>
      <c r="G29" s="130"/>
      <c r="H29" s="129"/>
      <c r="I29" s="129"/>
      <c r="J29" s="129"/>
      <c r="K29" s="125"/>
      <c r="L29" s="125"/>
      <c r="M29" s="125"/>
      <c r="AB29" s="63"/>
    </row>
    <row r="30" spans="1:29" x14ac:dyDescent="0.25">
      <c r="A30" s="15"/>
      <c r="B30" s="71"/>
      <c r="D30" s="125"/>
      <c r="E30" s="125"/>
      <c r="F30" s="125"/>
      <c r="G30" s="125"/>
      <c r="H30" s="125"/>
      <c r="I30" s="125"/>
      <c r="J30" s="125"/>
      <c r="K30" s="125"/>
      <c r="L30" s="125"/>
      <c r="M30" s="125"/>
      <c r="AB30" s="63" t="s">
        <v>172</v>
      </c>
      <c r="AC30" s="13" t="e">
        <f>+H15/H14</f>
        <v>#DIV/0!</v>
      </c>
    </row>
    <row r="31" spans="1:29" x14ac:dyDescent="0.25">
      <c r="A31" s="66" t="s">
        <v>158</v>
      </c>
      <c r="B31" s="67">
        <f>+'Bulletin simple'!N59-(('Bulletin simple'!T32+'Bulletin simple'!T30+'Bulletin simple'!T31)*'Bulletin simple'!AR11)+'Bulletin simple'!N57</f>
        <v>0</v>
      </c>
      <c r="D31" s="125"/>
      <c r="E31" s="125"/>
      <c r="F31" s="125"/>
      <c r="G31" s="125"/>
      <c r="H31" s="125"/>
      <c r="I31" s="125"/>
      <c r="J31" s="125"/>
      <c r="K31" s="125"/>
      <c r="L31" s="125"/>
      <c r="M31" s="125"/>
    </row>
    <row r="32" spans="1:29" x14ac:dyDescent="0.25">
      <c r="A32" s="15"/>
      <c r="B32" s="71"/>
      <c r="D32" s="125"/>
      <c r="E32" s="125"/>
      <c r="F32" s="125"/>
      <c r="G32" s="126" t="s">
        <v>170</v>
      </c>
      <c r="H32" s="131">
        <f>IFERROR(IF(H33="",ROUNDUP((+('Bulletin simple'!T27+'Bulletin simple'!T28)/'Bulletin simple'!AL14/'Déclaration Pajemploi'!AC30)*2,0)/2,H33),0)</f>
        <v>0</v>
      </c>
      <c r="I32" s="125" t="s">
        <v>156</v>
      </c>
      <c r="J32" s="125"/>
      <c r="K32" s="125"/>
      <c r="L32" s="125"/>
      <c r="M32" s="125"/>
    </row>
    <row r="33" spans="1:13" x14ac:dyDescent="0.25">
      <c r="A33" s="15" t="s">
        <v>159</v>
      </c>
      <c r="B33" s="65">
        <f>+'Bulletin simple'!N62+'Bulletin simple'!N63</f>
        <v>0</v>
      </c>
      <c r="D33" s="125"/>
      <c r="E33" s="125"/>
      <c r="F33" s="125"/>
      <c r="G33" s="126" t="s">
        <v>168</v>
      </c>
      <c r="H33" s="177"/>
      <c r="I33" s="125"/>
      <c r="J33" s="125"/>
      <c r="K33" s="125"/>
      <c r="L33" s="125"/>
      <c r="M33" s="125"/>
    </row>
    <row r="34" spans="1:13" x14ac:dyDescent="0.25">
      <c r="A34" s="15"/>
      <c r="B34" s="71"/>
      <c r="D34" s="125"/>
      <c r="E34" s="125"/>
      <c r="F34" s="125"/>
      <c r="H34" s="125"/>
      <c r="I34" s="125"/>
      <c r="J34" s="125"/>
      <c r="L34" s="127" t="str">
        <f>IF(H33="",+"Nbre des jrs des ind CP = montant CP (soit "&amp;'Bulletin simple'!T27&amp;" €) / taux hor. brut (soit "&amp;'Bulletin simple'!AL14&amp;" €) / horaire moyen par sem. (soit "&amp;H15&amp;" hrs / "&amp;H14&amp;" jrs ) = "&amp;H32&amp;" jrs","")</f>
        <v>Nbre des jrs des ind CP = montant CP (soit  €) / taux hor. brut (soit  €) / horaire moyen par sem. (soit  hrs /  jrs ) = 0 jrs</v>
      </c>
    </row>
    <row r="35" spans="1:13" x14ac:dyDescent="0.25">
      <c r="A35" s="15" t="s">
        <v>238</v>
      </c>
      <c r="B35" s="65">
        <f>+'Bulletin simple'!N64+'Bulletin simple'!N65</f>
        <v>0</v>
      </c>
    </row>
    <row r="36" spans="1:13" x14ac:dyDescent="0.25">
      <c r="A36" s="15"/>
      <c r="B36" s="71"/>
      <c r="E36" s="155"/>
      <c r="F36" s="155"/>
      <c r="G36" s="156"/>
      <c r="H36" s="157"/>
      <c r="I36" s="158"/>
      <c r="J36" s="158"/>
      <c r="K36" s="158"/>
      <c r="L36" s="125"/>
    </row>
    <row r="37" spans="1:13" x14ac:dyDescent="0.25">
      <c r="A37" s="15" t="s">
        <v>160</v>
      </c>
      <c r="B37" s="65">
        <f>+'Bulletin simple'!N66+'Bulletin simple'!N67</f>
        <v>0</v>
      </c>
      <c r="E37" s="155"/>
      <c r="F37" s="155"/>
      <c r="G37" s="156"/>
      <c r="H37" s="160"/>
      <c r="I37" s="158"/>
      <c r="J37" s="158"/>
      <c r="K37" s="158"/>
      <c r="L37" s="125"/>
    </row>
    <row r="38" spans="1:13" x14ac:dyDescent="0.25">
      <c r="A38" s="15"/>
      <c r="B38" s="65"/>
      <c r="E38" s="155"/>
      <c r="F38" s="155"/>
      <c r="G38" s="155"/>
      <c r="H38" s="158"/>
      <c r="I38" s="158"/>
      <c r="J38" s="158"/>
      <c r="K38" s="155"/>
      <c r="L38" s="127"/>
    </row>
    <row r="39" spans="1:13" x14ac:dyDescent="0.25">
      <c r="A39" s="15" t="s">
        <v>239</v>
      </c>
      <c r="B39" s="197" t="str">
        <f>+IF(OR(B41&gt;0,B43&gt;0,B45&gt;0,B47&gt;0),"OUI","NON")</f>
        <v>NON</v>
      </c>
      <c r="E39" s="155"/>
      <c r="F39" s="155"/>
      <c r="G39" s="155"/>
      <c r="H39" s="155"/>
      <c r="I39" s="155"/>
      <c r="J39" s="155"/>
      <c r="K39" s="155"/>
    </row>
    <row r="40" spans="1:13" x14ac:dyDescent="0.25">
      <c r="A40" s="15"/>
      <c r="B40" s="201"/>
      <c r="E40" s="155"/>
      <c r="F40" s="159"/>
      <c r="G40" s="155"/>
      <c r="H40" s="155"/>
      <c r="I40" s="155"/>
      <c r="J40" s="155"/>
      <c r="K40" s="155"/>
    </row>
    <row r="41" spans="1:13" x14ac:dyDescent="0.25">
      <c r="A41" s="15" t="s">
        <v>240</v>
      </c>
      <c r="B41" s="198">
        <f>+'Bulletin simple'!T32*'Bulletin simple'!AR11</f>
        <v>0</v>
      </c>
    </row>
    <row r="42" spans="1:13" x14ac:dyDescent="0.25">
      <c r="A42" s="15"/>
      <c r="B42" s="201"/>
    </row>
    <row r="43" spans="1:13" x14ac:dyDescent="0.25">
      <c r="A43" s="15" t="s">
        <v>241</v>
      </c>
      <c r="B43" s="198">
        <f>+'Bulletin simple'!T30*'Bulletin simple'!AR11</f>
        <v>0</v>
      </c>
    </row>
    <row r="44" spans="1:13" x14ac:dyDescent="0.25">
      <c r="A44" s="15"/>
      <c r="B44" s="201"/>
    </row>
    <row r="45" spans="1:13" x14ac:dyDescent="0.25">
      <c r="A45" s="15" t="s">
        <v>242</v>
      </c>
      <c r="B45" s="198">
        <f>+'Bulletin simple'!T31*'Bulletin simple'!AR11</f>
        <v>0</v>
      </c>
    </row>
    <row r="46" spans="1:13" x14ac:dyDescent="0.25">
      <c r="A46" s="15"/>
      <c r="B46" s="201"/>
    </row>
    <row r="47" spans="1:13" x14ac:dyDescent="0.25">
      <c r="A47" s="15" t="s">
        <v>243</v>
      </c>
      <c r="B47" s="198">
        <f>+'Bulletin simple'!N68</f>
        <v>0</v>
      </c>
    </row>
    <row r="48" spans="1:13" ht="15.75" thickBot="1" x14ac:dyDescent="0.3">
      <c r="B48" s="63"/>
    </row>
    <row r="49" spans="1:3" ht="15.75" thickTop="1" x14ac:dyDescent="0.25">
      <c r="A49" s="68"/>
      <c r="B49" s="69"/>
      <c r="C49" s="161"/>
    </row>
    <row r="50" spans="1:3" ht="18" x14ac:dyDescent="0.25">
      <c r="A50" s="59" t="s">
        <v>161</v>
      </c>
      <c r="B50" s="63"/>
      <c r="C50" s="161"/>
    </row>
    <row r="51" spans="1:3" x14ac:dyDescent="0.25">
      <c r="B51" s="63"/>
    </row>
    <row r="52" spans="1:3" x14ac:dyDescent="0.25">
      <c r="A52" s="16" t="s">
        <v>162</v>
      </c>
      <c r="B52" s="65">
        <f>+B31+B33+B35+B37+B43+B45+B41+B47</f>
        <v>0</v>
      </c>
    </row>
    <row r="53" spans="1:3" x14ac:dyDescent="0.25">
      <c r="A53" s="16"/>
      <c r="B53" s="63"/>
    </row>
    <row r="54" spans="1:3" x14ac:dyDescent="0.25">
      <c r="A54" s="16" t="s">
        <v>163</v>
      </c>
      <c r="B54" s="65">
        <f>+'Bulletin simple'!N57*-1</f>
        <v>0</v>
      </c>
    </row>
    <row r="55" spans="1:3" x14ac:dyDescent="0.25">
      <c r="A55" s="16"/>
      <c r="B55" s="63"/>
    </row>
    <row r="56" spans="1:3" x14ac:dyDescent="0.25">
      <c r="A56" s="16" t="s">
        <v>164</v>
      </c>
      <c r="B56" s="65">
        <f>+'Bulletin simple'!Q75</f>
        <v>0</v>
      </c>
    </row>
    <row r="57" spans="1:3" x14ac:dyDescent="0.25">
      <c r="A57" s="16"/>
      <c r="B57" s="63"/>
    </row>
    <row r="58" spans="1:3" x14ac:dyDescent="0.25">
      <c r="A58" s="17" t="s">
        <v>165</v>
      </c>
      <c r="B58" s="70">
        <f>+B52+(+B54)+B56</f>
        <v>0</v>
      </c>
    </row>
  </sheetData>
  <sheetProtection algorithmName="SHA-512" hashValue="Bn/rsQCDgD5yurU6Uv13m9zawejllrGBE+l+SijMtUsu5cSHKGNMjp61ma5CuobzYV6bPB0vYsP1pJkSNkVbqw==" saltValue="GnYZuEyZL7ZG9Y7nxZ3SeA==" spinCount="100000" sheet="1" objects="1" scenarios="1" formatCells="0" formatColumns="0" formatRows="0" insertColumns="0" insertRows="0" insertHyperlinks="0" sort="0" autoFilter="0" pivotTables="0"/>
  <conditionalFormatting sqref="A17:A18">
    <cfRule type="expression" dxfId="57" priority="2">
      <formula>$B$15="NON"</formula>
    </cfRule>
  </conditionalFormatting>
  <conditionalFormatting sqref="A13:B13">
    <cfRule type="expression" dxfId="56" priority="6">
      <formula>$B$11="NON"</formula>
    </cfRule>
  </conditionalFormatting>
  <conditionalFormatting sqref="A20:B20">
    <cfRule type="expression" dxfId="55" priority="3">
      <formula>AND($B$11="NON",$B$15="NON")</formula>
    </cfRule>
  </conditionalFormatting>
  <conditionalFormatting sqref="A40:B47">
    <cfRule type="expression" dxfId="54" priority="1">
      <formula>$B$39="NON"</formula>
    </cfRule>
  </conditionalFormatting>
  <conditionalFormatting sqref="B17">
    <cfRule type="expression" dxfId="53" priority="5">
      <formula>$B$15="NON"</formula>
    </cfRule>
  </conditionalFormatting>
  <pageMargins left="0.7" right="0.7" top="0.75" bottom="0.75" header="0.3" footer="0.3"/>
  <pageSetup paperSize="9" scale="88"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E92A2-F201-49F0-AA04-6A437ECBC4FB}">
  <sheetPr>
    <tabColor theme="7" tint="0.59999389629810485"/>
  </sheetPr>
  <dimension ref="A1:BY107"/>
  <sheetViews>
    <sheetView showGridLines="0" zoomScale="90" zoomScaleNormal="90" workbookViewId="0">
      <selection activeCell="A10" sqref="A10:M11"/>
    </sheetView>
  </sheetViews>
  <sheetFormatPr baseColWidth="10" defaultRowHeight="15" x14ac:dyDescent="0.25"/>
  <cols>
    <col min="1" max="1" width="4.42578125" style="15" customWidth="1"/>
    <col min="2" max="2" width="8.85546875" style="15" customWidth="1"/>
    <col min="3" max="5" width="3.42578125" style="15" customWidth="1"/>
    <col min="6" max="6" width="4.5703125" style="15" customWidth="1"/>
    <col min="7" max="7" width="4.28515625" style="15" customWidth="1"/>
    <col min="8" max="15" width="3.42578125" style="15" customWidth="1"/>
    <col min="16" max="16" width="4.5703125" style="15" customWidth="1"/>
    <col min="17" max="17" width="2.42578125" style="15" customWidth="1"/>
    <col min="18" max="26" width="3.42578125" style="15" customWidth="1"/>
    <col min="27" max="27" width="1.28515625" style="15" customWidth="1"/>
    <col min="28" max="28" width="3" style="15" customWidth="1"/>
    <col min="29" max="29" width="3.5703125" style="15" customWidth="1"/>
    <col min="30" max="40" width="3" style="15" customWidth="1"/>
    <col min="41" max="42" width="3.7109375" style="15" customWidth="1"/>
    <col min="43" max="45" width="11.42578125" style="13"/>
    <col min="46" max="46" width="7" style="13" customWidth="1"/>
    <col min="47" max="47" width="11.42578125" style="13"/>
    <col min="48" max="48" width="7.28515625" style="13" customWidth="1"/>
    <col min="49" max="54" width="11.42578125" style="13"/>
    <col min="55" max="55" width="15.7109375" style="13" customWidth="1"/>
    <col min="56" max="56" width="17.140625" style="13" customWidth="1"/>
    <col min="57" max="57" width="11.42578125" style="13"/>
    <col min="58" max="64" width="11.42578125" style="13" hidden="1" customWidth="1"/>
    <col min="65" max="74" width="11.42578125" style="13"/>
    <col min="75" max="77" width="11.42578125" style="13" hidden="1" customWidth="1"/>
    <col min="78" max="16384" width="11.42578125" style="13"/>
  </cols>
  <sheetData>
    <row r="1" spans="1:76" ht="18" x14ac:dyDescent="0.25">
      <c r="A1" s="344" t="s">
        <v>0</v>
      </c>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BC1" s="704" t="s">
        <v>110</v>
      </c>
      <c r="BD1" s="704"/>
      <c r="BJ1" s="191" t="s">
        <v>114</v>
      </c>
      <c r="BX1" s="13" t="s">
        <v>178</v>
      </c>
    </row>
    <row r="2" spans="1:76" ht="12" customHeight="1" x14ac:dyDescent="0.25">
      <c r="A2" s="78"/>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R2" s="13" t="s">
        <v>104</v>
      </c>
      <c r="BC2" s="187">
        <v>46023</v>
      </c>
      <c r="BD2" s="192">
        <v>0.88200000000000001</v>
      </c>
      <c r="BJ2" s="193">
        <v>46023</v>
      </c>
      <c r="BX2" s="13" t="s">
        <v>177</v>
      </c>
    </row>
    <row r="3" spans="1:76" ht="18" x14ac:dyDescent="0.25">
      <c r="A3" s="345" t="s">
        <v>1</v>
      </c>
      <c r="B3" s="346"/>
      <c r="C3" s="346"/>
      <c r="D3" s="346"/>
      <c r="E3" s="346"/>
      <c r="F3" s="346"/>
      <c r="G3" s="346"/>
      <c r="H3" s="346"/>
      <c r="I3" s="346"/>
      <c r="J3" s="346"/>
      <c r="K3" s="346"/>
      <c r="L3" s="346"/>
      <c r="M3" s="346"/>
      <c r="N3" s="346"/>
      <c r="O3" s="346"/>
      <c r="P3" s="346"/>
      <c r="Q3" s="346"/>
      <c r="R3" s="347"/>
      <c r="S3" s="78"/>
      <c r="T3" s="78"/>
      <c r="U3" s="78"/>
      <c r="V3" s="79" t="s">
        <v>2</v>
      </c>
      <c r="W3" s="80"/>
      <c r="X3" s="721">
        <v>46054</v>
      </c>
      <c r="Y3" s="722"/>
      <c r="Z3" s="722"/>
      <c r="AA3" s="722"/>
      <c r="AB3" s="722"/>
      <c r="AC3" s="723"/>
      <c r="AD3" s="78"/>
      <c r="AE3" s="78"/>
      <c r="AF3" s="351" t="s">
        <v>3</v>
      </c>
      <c r="AG3" s="352"/>
      <c r="AH3" s="353"/>
      <c r="AI3" s="724" t="s">
        <v>218</v>
      </c>
      <c r="AJ3" s="725"/>
      <c r="AK3" s="725"/>
      <c r="AL3" s="725"/>
      <c r="AM3" s="725"/>
      <c r="AN3" s="725"/>
      <c r="AO3" s="726"/>
      <c r="AR3" s="727" t="s">
        <v>108</v>
      </c>
      <c r="AS3" s="727"/>
      <c r="AT3" s="182"/>
      <c r="BC3" s="187"/>
      <c r="BD3" s="192"/>
      <c r="BJ3" s="193">
        <f>+DATE(YEAR(BJ2),MONTH(BJ2)+1,1)</f>
        <v>46054</v>
      </c>
    </row>
    <row r="4" spans="1:76" x14ac:dyDescent="0.25">
      <c r="A4" s="335" t="s">
        <v>4</v>
      </c>
      <c r="B4" s="336"/>
      <c r="C4" s="336"/>
      <c r="D4" s="336"/>
      <c r="E4" s="719" t="s">
        <v>213</v>
      </c>
      <c r="F4" s="719"/>
      <c r="G4" s="719"/>
      <c r="H4" s="719"/>
      <c r="I4" s="719"/>
      <c r="J4" s="719"/>
      <c r="K4" s="719"/>
      <c r="L4" s="719"/>
      <c r="M4" s="719"/>
      <c r="N4" s="719"/>
      <c r="O4" s="719"/>
      <c r="P4" s="719"/>
      <c r="Q4" s="719"/>
      <c r="R4" s="720"/>
      <c r="V4" s="82" t="s">
        <v>5</v>
      </c>
      <c r="W4" s="83"/>
      <c r="X4" s="357">
        <v>2026</v>
      </c>
      <c r="Y4" s="358"/>
      <c r="Z4" s="358"/>
      <c r="AA4" s="358"/>
      <c r="AB4" s="358"/>
      <c r="AC4" s="359"/>
      <c r="AE4" s="84"/>
      <c r="AF4" s="360" t="s">
        <v>6</v>
      </c>
      <c r="AG4" s="361"/>
      <c r="AH4" s="361"/>
      <c r="AI4" s="362"/>
      <c r="AJ4" s="728">
        <v>46054</v>
      </c>
      <c r="AK4" s="729"/>
      <c r="AL4" s="729"/>
      <c r="AM4" s="729"/>
      <c r="AN4" s="729"/>
      <c r="AO4" s="730"/>
      <c r="AP4" s="73"/>
      <c r="BC4" s="187"/>
      <c r="BD4" s="192"/>
      <c r="BJ4" s="193">
        <f t="shared" ref="BJ4:BJ13" si="0">+DATE(YEAR(BJ3),MONTH(BJ3)+1,1)</f>
        <v>46082</v>
      </c>
    </row>
    <row r="5" spans="1:76" x14ac:dyDescent="0.25">
      <c r="A5" s="213" t="s">
        <v>7</v>
      </c>
      <c r="B5" s="337"/>
      <c r="C5" s="337"/>
      <c r="D5" s="337"/>
      <c r="E5" s="628" t="s">
        <v>214</v>
      </c>
      <c r="F5" s="628"/>
      <c r="G5" s="628"/>
      <c r="H5" s="628"/>
      <c r="I5" s="628"/>
      <c r="J5" s="628"/>
      <c r="K5" s="628"/>
      <c r="L5" s="628"/>
      <c r="M5" s="628"/>
      <c r="N5" s="628"/>
      <c r="O5" s="628"/>
      <c r="P5" s="628"/>
      <c r="Q5" s="628"/>
      <c r="R5" s="716"/>
      <c r="V5" s="85" t="s">
        <v>8</v>
      </c>
      <c r="W5" s="86"/>
      <c r="X5" s="572">
        <f>IF(AT5="",+X3,DATE(YEAR(X3),MONTH(X3),DAY(AT5)))</f>
        <v>46054</v>
      </c>
      <c r="Y5" s="573"/>
      <c r="Z5" s="467" t="s">
        <v>9</v>
      </c>
      <c r="AA5" s="467"/>
      <c r="AB5" s="573">
        <f>IF(AV5="",+EOMONTH(X3,0),DATE(YEAR(X3),MONTH(X3),DAY(AV5)))</f>
        <v>46081</v>
      </c>
      <c r="AC5" s="574"/>
      <c r="AP5" s="87"/>
      <c r="AS5" s="63" t="s">
        <v>173</v>
      </c>
      <c r="AT5" s="183"/>
      <c r="AU5" s="132" t="s">
        <v>9</v>
      </c>
      <c r="AV5" s="183"/>
      <c r="BC5" s="187"/>
      <c r="BD5" s="192"/>
      <c r="BJ5" s="193">
        <f>+DATE(YEAR(BJ4),MONTH(BJ4)+1,1)</f>
        <v>46113</v>
      </c>
    </row>
    <row r="6" spans="1:76" x14ac:dyDescent="0.25">
      <c r="A6" s="213" t="s">
        <v>10</v>
      </c>
      <c r="B6" s="337"/>
      <c r="C6" s="337"/>
      <c r="D6" s="337"/>
      <c r="E6" s="628" t="s">
        <v>215</v>
      </c>
      <c r="F6" s="628"/>
      <c r="G6" s="628"/>
      <c r="H6" s="628"/>
      <c r="I6" s="628"/>
      <c r="J6" s="628"/>
      <c r="K6" s="628"/>
      <c r="L6" s="628"/>
      <c r="M6" s="628"/>
      <c r="N6" s="628"/>
      <c r="O6" s="628"/>
      <c r="P6" s="628"/>
      <c r="Q6" s="628"/>
      <c r="R6" s="716"/>
      <c r="BJ6" s="193">
        <f>+DATE(YEAR(BJ5),MONTH(BJ5)+1,1)</f>
        <v>46143</v>
      </c>
    </row>
    <row r="7" spans="1:76" x14ac:dyDescent="0.25">
      <c r="A7" s="213" t="s">
        <v>11</v>
      </c>
      <c r="B7" s="337"/>
      <c r="C7" s="337"/>
      <c r="D7" s="337"/>
      <c r="E7" s="628" t="s">
        <v>216</v>
      </c>
      <c r="F7" s="628"/>
      <c r="G7" s="628"/>
      <c r="H7" s="628"/>
      <c r="I7" s="628"/>
      <c r="J7" s="628"/>
      <c r="K7" s="628"/>
      <c r="L7" s="628"/>
      <c r="M7" s="628"/>
      <c r="N7" s="628"/>
      <c r="O7" s="628"/>
      <c r="P7" s="628"/>
      <c r="Q7" s="628"/>
      <c r="R7" s="716"/>
      <c r="V7" s="345" t="s">
        <v>12</v>
      </c>
      <c r="W7" s="346"/>
      <c r="X7" s="346"/>
      <c r="Y7" s="346"/>
      <c r="Z7" s="346"/>
      <c r="AA7" s="346"/>
      <c r="AB7" s="346"/>
      <c r="AC7" s="346"/>
      <c r="AD7" s="346"/>
      <c r="AE7" s="346"/>
      <c r="AF7" s="346"/>
      <c r="AG7" s="346"/>
      <c r="AH7" s="346"/>
      <c r="AI7" s="346"/>
      <c r="AJ7" s="346"/>
      <c r="AK7" s="346"/>
      <c r="AL7" s="346"/>
      <c r="AM7" s="346"/>
      <c r="AN7" s="346"/>
      <c r="AO7" s="347"/>
      <c r="AP7" s="88"/>
      <c r="AR7" s="13" t="s">
        <v>112</v>
      </c>
      <c r="BC7" s="742" t="s">
        <v>111</v>
      </c>
      <c r="BD7" s="742"/>
      <c r="BJ7" s="193">
        <f t="shared" si="0"/>
        <v>46174</v>
      </c>
    </row>
    <row r="8" spans="1:76" x14ac:dyDescent="0.25">
      <c r="A8" s="338" t="s">
        <v>13</v>
      </c>
      <c r="B8" s="339"/>
      <c r="C8" s="339"/>
      <c r="D8" s="339"/>
      <c r="E8" s="717" t="s">
        <v>217</v>
      </c>
      <c r="F8" s="717"/>
      <c r="G8" s="717"/>
      <c r="H8" s="717"/>
      <c r="I8" s="717"/>
      <c r="J8" s="717"/>
      <c r="K8" s="717"/>
      <c r="L8" s="717"/>
      <c r="M8" s="717"/>
      <c r="N8" s="717"/>
      <c r="O8" s="717"/>
      <c r="P8" s="717"/>
      <c r="Q8" s="717"/>
      <c r="R8" s="718"/>
      <c r="V8" s="335" t="s">
        <v>4</v>
      </c>
      <c r="W8" s="336"/>
      <c r="X8" s="336"/>
      <c r="Y8" s="336"/>
      <c r="Z8" s="719" t="s">
        <v>219</v>
      </c>
      <c r="AA8" s="719"/>
      <c r="AB8" s="719"/>
      <c r="AC8" s="719"/>
      <c r="AD8" s="719"/>
      <c r="AE8" s="719"/>
      <c r="AF8" s="719"/>
      <c r="AG8" s="719"/>
      <c r="AH8" s="719"/>
      <c r="AI8" s="719"/>
      <c r="AJ8" s="719"/>
      <c r="AK8" s="719"/>
      <c r="AL8" s="719"/>
      <c r="AM8" s="719"/>
      <c r="AN8" s="719"/>
      <c r="AO8" s="720"/>
      <c r="AR8" s="184" t="s">
        <v>109</v>
      </c>
      <c r="BC8" s="743">
        <v>46023</v>
      </c>
      <c r="BD8" s="155">
        <v>0.76819999999999999</v>
      </c>
      <c r="BJ8" s="193">
        <f t="shared" si="0"/>
        <v>46204</v>
      </c>
    </row>
    <row r="9" spans="1:76" x14ac:dyDescent="0.25">
      <c r="V9" s="213" t="s">
        <v>7</v>
      </c>
      <c r="W9" s="337"/>
      <c r="X9" s="337"/>
      <c r="Y9" s="337"/>
      <c r="Z9" s="628" t="s">
        <v>220</v>
      </c>
      <c r="AA9" s="628"/>
      <c r="AB9" s="628"/>
      <c r="AC9" s="628"/>
      <c r="AD9" s="628"/>
      <c r="AE9" s="628"/>
      <c r="AF9" s="628"/>
      <c r="AG9" s="628"/>
      <c r="AH9" s="628"/>
      <c r="AI9" s="628"/>
      <c r="AJ9" s="628"/>
      <c r="AK9" s="628"/>
      <c r="AL9" s="628"/>
      <c r="AM9" s="628"/>
      <c r="AN9" s="628"/>
      <c r="AO9" s="716"/>
      <c r="BC9" s="743"/>
      <c r="BD9" s="155"/>
      <c r="BJ9" s="193">
        <f t="shared" si="0"/>
        <v>46235</v>
      </c>
    </row>
    <row r="10" spans="1:76" x14ac:dyDescent="0.25">
      <c r="A10" s="575" t="s">
        <v>14</v>
      </c>
      <c r="B10" s="575"/>
      <c r="C10" s="575"/>
      <c r="D10" s="575"/>
      <c r="E10" s="575"/>
      <c r="F10" s="575"/>
      <c r="G10" s="575"/>
      <c r="H10" s="575"/>
      <c r="I10" s="575"/>
      <c r="J10" s="575"/>
      <c r="K10" s="575"/>
      <c r="L10" s="575"/>
      <c r="M10" s="575"/>
      <c r="V10" s="213" t="s">
        <v>10</v>
      </c>
      <c r="W10" s="337"/>
      <c r="X10" s="337"/>
      <c r="Y10" s="337"/>
      <c r="Z10" s="628" t="s">
        <v>215</v>
      </c>
      <c r="AA10" s="628"/>
      <c r="AB10" s="628"/>
      <c r="AC10" s="628"/>
      <c r="AD10" s="628"/>
      <c r="AE10" s="628"/>
      <c r="AF10" s="628"/>
      <c r="AG10" s="628"/>
      <c r="AH10" s="628"/>
      <c r="AI10" s="628"/>
      <c r="AJ10" s="628"/>
      <c r="AK10" s="628"/>
      <c r="AL10" s="628"/>
      <c r="AM10" s="628"/>
      <c r="AN10" s="628"/>
      <c r="AO10" s="716"/>
      <c r="AR10" s="13" t="s">
        <v>113</v>
      </c>
      <c r="BC10" s="743"/>
      <c r="BD10" s="155"/>
      <c r="BJ10" s="193">
        <f t="shared" si="0"/>
        <v>46266</v>
      </c>
    </row>
    <row r="11" spans="1:76" x14ac:dyDescent="0.25">
      <c r="A11" s="575"/>
      <c r="B11" s="575"/>
      <c r="C11" s="575"/>
      <c r="D11" s="575"/>
      <c r="E11" s="575"/>
      <c r="F11" s="575"/>
      <c r="G11" s="575"/>
      <c r="H11" s="575"/>
      <c r="I11" s="575"/>
      <c r="J11" s="575"/>
      <c r="K11" s="575"/>
      <c r="L11" s="575"/>
      <c r="M11" s="575"/>
      <c r="V11" s="213" t="s">
        <v>15</v>
      </c>
      <c r="W11" s="337"/>
      <c r="X11" s="337"/>
      <c r="Y11" s="337"/>
      <c r="Z11" s="628" t="s">
        <v>221</v>
      </c>
      <c r="AA11" s="628"/>
      <c r="AB11" s="628"/>
      <c r="AC11" s="628"/>
      <c r="AD11" s="628"/>
      <c r="AE11" s="628"/>
      <c r="AF11" s="628"/>
      <c r="AG11" s="628"/>
      <c r="AH11" s="628"/>
      <c r="AI11" s="628"/>
      <c r="AJ11" s="628"/>
      <c r="AK11" s="628"/>
      <c r="AL11" s="628"/>
      <c r="AM11" s="628"/>
      <c r="AN11" s="628"/>
      <c r="AO11" s="716"/>
      <c r="AR11" s="89">
        <f>+IF(AR8="OUI",VLOOKUP(X3,BC8:BD11,2,TRUE),VLOOKUP(X3,BC2:BD5,2,TRUE))</f>
        <v>0.88200000000000001</v>
      </c>
      <c r="BC11" s="743"/>
      <c r="BD11" s="155"/>
      <c r="BJ11" s="193">
        <f t="shared" si="0"/>
        <v>46296</v>
      </c>
    </row>
    <row r="12" spans="1:76" x14ac:dyDescent="0.25">
      <c r="V12" s="338" t="s">
        <v>16</v>
      </c>
      <c r="W12" s="339"/>
      <c r="X12" s="339"/>
      <c r="Y12" s="339"/>
      <c r="Z12" s="717" t="s">
        <v>222</v>
      </c>
      <c r="AA12" s="717"/>
      <c r="AB12" s="717"/>
      <c r="AC12" s="717"/>
      <c r="AD12" s="717"/>
      <c r="AE12" s="717"/>
      <c r="AF12" s="717"/>
      <c r="AG12" s="717"/>
      <c r="AH12" s="717"/>
      <c r="AI12" s="717"/>
      <c r="AJ12" s="717"/>
      <c r="AK12" s="717"/>
      <c r="AL12" s="717"/>
      <c r="AM12" s="717"/>
      <c r="AN12" s="717"/>
      <c r="AO12" s="718"/>
      <c r="BJ12" s="193">
        <f t="shared" si="0"/>
        <v>46327</v>
      </c>
    </row>
    <row r="13" spans="1:76" x14ac:dyDescent="0.25">
      <c r="A13" s="90"/>
      <c r="B13" s="90"/>
      <c r="C13" s="90"/>
      <c r="D13" s="90"/>
      <c r="E13" s="90"/>
      <c r="F13" s="90"/>
      <c r="G13" s="90"/>
      <c r="H13" s="90"/>
      <c r="I13" s="90"/>
      <c r="J13" s="90"/>
      <c r="K13" s="90"/>
      <c r="L13" s="90"/>
      <c r="M13" s="90"/>
      <c r="AN13" s="91"/>
      <c r="AR13" s="12" t="s">
        <v>121</v>
      </c>
      <c r="AS13" s="12"/>
      <c r="BC13" s="742" t="s">
        <v>117</v>
      </c>
      <c r="BD13" s="742"/>
      <c r="BJ13" s="193">
        <f t="shared" si="0"/>
        <v>46357</v>
      </c>
    </row>
    <row r="14" spans="1:76" x14ac:dyDescent="0.25">
      <c r="G14" s="71" t="s">
        <v>17</v>
      </c>
      <c r="H14" s="709">
        <v>100</v>
      </c>
      <c r="I14" s="710"/>
      <c r="J14" s="710"/>
      <c r="K14" s="711"/>
      <c r="O14" s="579" t="s">
        <v>18</v>
      </c>
      <c r="P14" s="579"/>
      <c r="Q14" s="579"/>
      <c r="R14" s="579"/>
      <c r="S14" s="579"/>
      <c r="T14" s="580"/>
      <c r="U14" s="709">
        <v>10</v>
      </c>
      <c r="V14" s="710"/>
      <c r="W14" s="710"/>
      <c r="X14" s="712"/>
      <c r="AE14" s="360" t="s">
        <v>19</v>
      </c>
      <c r="AF14" s="361"/>
      <c r="AG14" s="361"/>
      <c r="AH14" s="361"/>
      <c r="AI14" s="361"/>
      <c r="AJ14" s="361"/>
      <c r="AK14" s="362"/>
      <c r="AL14" s="713">
        <v>5</v>
      </c>
      <c r="AM14" s="714"/>
      <c r="AN14" s="714"/>
      <c r="AO14" s="715"/>
      <c r="AR14" s="185" t="s">
        <v>109</v>
      </c>
      <c r="BC14" s="743">
        <v>46023</v>
      </c>
      <c r="BD14" s="744">
        <v>1.2999999999999999E-2</v>
      </c>
    </row>
    <row r="15" spans="1:76" x14ac:dyDescent="0.25">
      <c r="A15" s="15" t="s">
        <v>118</v>
      </c>
      <c r="L15" s="71" t="s">
        <v>119</v>
      </c>
      <c r="M15" s="705">
        <v>0.1</v>
      </c>
      <c r="N15" s="706"/>
      <c r="W15" s="71" t="s">
        <v>120</v>
      </c>
      <c r="X15" s="707">
        <v>0</v>
      </c>
      <c r="Y15" s="708"/>
      <c r="Z15" s="186"/>
      <c r="AE15" s="360" t="s">
        <v>20</v>
      </c>
      <c r="AF15" s="361"/>
      <c r="AG15" s="361"/>
      <c r="AH15" s="361"/>
      <c r="AI15" s="361"/>
      <c r="AJ15" s="361"/>
      <c r="AK15" s="362"/>
      <c r="AL15" s="527">
        <f>AL14*AR11</f>
        <v>4.41</v>
      </c>
      <c r="AM15" s="528"/>
      <c r="AN15" s="528"/>
      <c r="AO15" s="529"/>
      <c r="AP15" s="93"/>
      <c r="BC15" s="743"/>
      <c r="BD15" s="744"/>
    </row>
    <row r="16" spans="1:76" ht="9.75" customHeight="1" x14ac:dyDescent="0.25">
      <c r="AP16" s="93"/>
      <c r="BC16" s="743"/>
      <c r="BD16" s="744"/>
    </row>
    <row r="17" spans="1:60" ht="11.25" customHeight="1" thickBot="1" x14ac:dyDescent="0.3">
      <c r="M17" s="94"/>
      <c r="N17" s="94"/>
      <c r="AE17" s="73"/>
      <c r="AF17" s="73"/>
      <c r="AG17" s="73"/>
      <c r="AH17" s="73"/>
      <c r="AI17" s="73"/>
      <c r="AJ17" s="73"/>
      <c r="AK17" s="73"/>
      <c r="AL17" s="93"/>
      <c r="AM17" s="93"/>
      <c r="AN17" s="93"/>
      <c r="AO17" s="93"/>
      <c r="AP17" s="93"/>
      <c r="AR17" s="214" t="s">
        <v>122</v>
      </c>
      <c r="AS17" s="214"/>
      <c r="BC17" s="743"/>
      <c r="BD17" s="744"/>
    </row>
    <row r="18" spans="1:60" ht="15.75" thickTop="1" x14ac:dyDescent="0.25">
      <c r="A18" s="345" t="s">
        <v>21</v>
      </c>
      <c r="B18" s="346"/>
      <c r="C18" s="346"/>
      <c r="D18" s="346"/>
      <c r="E18" s="346"/>
      <c r="F18" s="346"/>
      <c r="G18" s="346"/>
      <c r="H18" s="346"/>
      <c r="I18" s="346"/>
      <c r="J18" s="346"/>
      <c r="K18" s="347"/>
      <c r="L18" s="530" t="s">
        <v>22</v>
      </c>
      <c r="M18" s="530"/>
      <c r="N18" s="530"/>
      <c r="O18" s="531"/>
      <c r="P18" s="532" t="s">
        <v>23</v>
      </c>
      <c r="Q18" s="530"/>
      <c r="R18" s="530"/>
      <c r="S18" s="531"/>
      <c r="T18" s="532" t="s">
        <v>24</v>
      </c>
      <c r="U18" s="530"/>
      <c r="V18" s="530"/>
      <c r="W18" s="531"/>
      <c r="AB18" s="533" t="s">
        <v>25</v>
      </c>
      <c r="AC18" s="534"/>
      <c r="AD18" s="537" t="s">
        <v>26</v>
      </c>
      <c r="AE18" s="537"/>
      <c r="AF18" s="537"/>
      <c r="AG18" s="537" t="s">
        <v>27</v>
      </c>
      <c r="AH18" s="537"/>
      <c r="AI18" s="537"/>
      <c r="AJ18" s="537" t="s">
        <v>28</v>
      </c>
      <c r="AK18" s="537"/>
      <c r="AL18" s="550"/>
      <c r="AO18" s="13"/>
      <c r="AP18" s="13"/>
      <c r="AR18" s="133">
        <v>46023</v>
      </c>
      <c r="AS18" s="134">
        <v>12.02</v>
      </c>
      <c r="BH18" s="13" t="s">
        <v>123</v>
      </c>
    </row>
    <row r="19" spans="1:60" ht="15" customHeight="1" x14ac:dyDescent="0.25">
      <c r="A19" s="335" t="str">
        <f>+IF(AR14="OUI","Salaire (Nbre d'heures réelles)",IF(AND(AR14="NON",U14&gt;0),"Salaire mensualisé (hrs &lt; ou = à 45 hrs / sem)","Salaire mensualisé"))</f>
        <v>Salaire mensualisé (hrs &lt; ou = à 45 hrs / sem)</v>
      </c>
      <c r="B19" s="336"/>
      <c r="C19" s="336"/>
      <c r="D19" s="336"/>
      <c r="E19" s="336"/>
      <c r="F19" s="336"/>
      <c r="G19" s="336"/>
      <c r="H19" s="336"/>
      <c r="I19" s="336"/>
      <c r="J19" s="336"/>
      <c r="K19" s="598"/>
      <c r="L19" s="555">
        <f>IF(AR14="OUI",AD51,H14)</f>
        <v>100</v>
      </c>
      <c r="M19" s="555"/>
      <c r="N19" s="555"/>
      <c r="O19" s="556"/>
      <c r="P19" s="557">
        <f>AL14</f>
        <v>5</v>
      </c>
      <c r="Q19" s="558"/>
      <c r="R19" s="558"/>
      <c r="S19" s="559"/>
      <c r="T19" s="560">
        <f t="shared" ref="T19:T23" si="1">+P19*L19</f>
        <v>500</v>
      </c>
      <c r="U19" s="561"/>
      <c r="V19" s="561"/>
      <c r="W19" s="562"/>
      <c r="X19" s="73"/>
      <c r="Y19" s="73"/>
      <c r="Z19" s="73"/>
      <c r="AA19" s="95"/>
      <c r="AB19" s="535"/>
      <c r="AC19" s="536"/>
      <c r="AD19" s="538"/>
      <c r="AE19" s="538"/>
      <c r="AF19" s="538"/>
      <c r="AG19" s="538"/>
      <c r="AH19" s="538"/>
      <c r="AI19" s="538"/>
      <c r="AJ19" s="538"/>
      <c r="AK19" s="538"/>
      <c r="AL19" s="551"/>
      <c r="AM19" s="96"/>
      <c r="AN19" s="13"/>
      <c r="AO19" s="13"/>
      <c r="AP19" s="13"/>
      <c r="AR19" s="187"/>
      <c r="AS19" s="168"/>
      <c r="BC19" s="704" t="s">
        <v>208</v>
      </c>
      <c r="BD19" s="704"/>
      <c r="BG19" s="13" t="s">
        <v>35</v>
      </c>
    </row>
    <row r="20" spans="1:60" x14ac:dyDescent="0.25">
      <c r="A20" s="213" t="str">
        <f>+IF(U14&lt;=0,"","Heures supp mensualisées majorées")</f>
        <v>Heures supp mensualisées majorées</v>
      </c>
      <c r="B20" s="337"/>
      <c r="C20" s="337"/>
      <c r="D20" s="337"/>
      <c r="E20" s="337"/>
      <c r="F20" s="337"/>
      <c r="G20" s="337"/>
      <c r="H20" s="337"/>
      <c r="I20" s="337"/>
      <c r="J20" s="337"/>
      <c r="K20" s="563"/>
      <c r="L20" s="569">
        <f>IF(A19="Salaire heures normales réelles",0,U14)</f>
        <v>10</v>
      </c>
      <c r="M20" s="569"/>
      <c r="N20" s="569"/>
      <c r="O20" s="570"/>
      <c r="P20" s="516">
        <f>++IF(L20=0,0,P19)</f>
        <v>5</v>
      </c>
      <c r="Q20" s="517"/>
      <c r="R20" s="517"/>
      <c r="S20" s="518"/>
      <c r="T20" s="567">
        <f t="shared" si="1"/>
        <v>50</v>
      </c>
      <c r="U20" s="363"/>
      <c r="V20" s="363"/>
      <c r="W20" s="568"/>
      <c r="X20" s="74"/>
      <c r="Y20" s="74"/>
      <c r="Z20" s="74"/>
      <c r="AA20" s="65"/>
      <c r="AB20" s="428">
        <f>+$X$3</f>
        <v>46054</v>
      </c>
      <c r="AC20" s="428">
        <f>+$D$6</f>
        <v>0</v>
      </c>
      <c r="AD20" s="680">
        <v>10</v>
      </c>
      <c r="AE20" s="680"/>
      <c r="AF20" s="680"/>
      <c r="AG20" s="681"/>
      <c r="AH20" s="681"/>
      <c r="AI20" s="681"/>
      <c r="AJ20" s="680"/>
      <c r="AK20" s="680"/>
      <c r="AL20" s="682"/>
      <c r="AM20" s="97"/>
      <c r="AN20" s="98">
        <f>SUM(AD20:AL20)</f>
        <v>10</v>
      </c>
      <c r="AO20" s="13"/>
      <c r="AP20" s="13"/>
      <c r="AR20" s="187"/>
      <c r="AS20" s="168"/>
      <c r="BC20" s="187">
        <v>46023</v>
      </c>
      <c r="BD20" s="194">
        <v>3022</v>
      </c>
    </row>
    <row r="21" spans="1:60" x14ac:dyDescent="0.25">
      <c r="A21" s="213" t="str">
        <f>+IF(U14&lt;=0,"","Majoration hrs majorées mensuelles")</f>
        <v>Majoration hrs majorées mensuelles</v>
      </c>
      <c r="B21" s="337"/>
      <c r="C21" s="337"/>
      <c r="D21" s="337"/>
      <c r="E21" s="337"/>
      <c r="F21" s="337"/>
      <c r="G21" s="337"/>
      <c r="H21" s="337"/>
      <c r="I21" s="337"/>
      <c r="J21" s="337"/>
      <c r="K21" s="563"/>
      <c r="L21" s="702"/>
      <c r="M21" s="702"/>
      <c r="N21" s="702"/>
      <c r="O21" s="703"/>
      <c r="P21" s="566">
        <f>+IF(L20=0,0,P19*M15)</f>
        <v>0.5</v>
      </c>
      <c r="Q21" s="517"/>
      <c r="R21" s="517"/>
      <c r="S21" s="518"/>
      <c r="T21" s="567">
        <f>+P21*L21</f>
        <v>0</v>
      </c>
      <c r="U21" s="363"/>
      <c r="V21" s="363"/>
      <c r="W21" s="568"/>
      <c r="X21" s="74"/>
      <c r="Y21" s="74"/>
      <c r="Z21" s="74"/>
      <c r="AA21" s="65"/>
      <c r="AB21" s="428">
        <f>+$X$3+1</f>
        <v>46055</v>
      </c>
      <c r="AC21" s="428">
        <f>+$D$6+1</f>
        <v>1</v>
      </c>
      <c r="AD21" s="680">
        <v>7</v>
      </c>
      <c r="AE21" s="680"/>
      <c r="AF21" s="680"/>
      <c r="AG21" s="681"/>
      <c r="AH21" s="681"/>
      <c r="AI21" s="681"/>
      <c r="AJ21" s="680"/>
      <c r="AK21" s="680"/>
      <c r="AL21" s="682"/>
      <c r="AM21" s="97"/>
      <c r="AN21" s="98">
        <f t="shared" ref="AN21:AN50" si="2">SUM(AD21:AL21)</f>
        <v>7</v>
      </c>
      <c r="AO21" s="13"/>
      <c r="AP21" s="13"/>
      <c r="AR21" s="187"/>
      <c r="AS21" s="168"/>
      <c r="BC21" s="187"/>
      <c r="BD21" s="194"/>
    </row>
    <row r="22" spans="1:60" x14ac:dyDescent="0.25">
      <c r="A22" s="213" t="s">
        <v>29</v>
      </c>
      <c r="B22" s="337"/>
      <c r="C22" s="337"/>
      <c r="D22" s="337"/>
      <c r="E22" s="337"/>
      <c r="F22" s="337"/>
      <c r="G22" s="337"/>
      <c r="H22" s="337"/>
      <c r="I22" s="337"/>
      <c r="J22" s="337"/>
      <c r="K22" s="563"/>
      <c r="L22" s="483">
        <f>AG51</f>
        <v>0</v>
      </c>
      <c r="M22" s="483"/>
      <c r="N22" s="483"/>
      <c r="O22" s="484"/>
      <c r="P22" s="516">
        <f>+P19*(1+X15)</f>
        <v>5</v>
      </c>
      <c r="Q22" s="517"/>
      <c r="R22" s="517"/>
      <c r="S22" s="518"/>
      <c r="T22" s="567">
        <f t="shared" si="1"/>
        <v>0</v>
      </c>
      <c r="U22" s="363"/>
      <c r="V22" s="363"/>
      <c r="W22" s="568"/>
      <c r="X22" s="74"/>
      <c r="Y22" s="74"/>
      <c r="Z22" s="74"/>
      <c r="AA22" s="65"/>
      <c r="AB22" s="428">
        <f>+$X$3+2</f>
        <v>46056</v>
      </c>
      <c r="AC22" s="428">
        <f>+$D$6+2</f>
        <v>2</v>
      </c>
      <c r="AD22" s="680"/>
      <c r="AE22" s="680"/>
      <c r="AF22" s="680"/>
      <c r="AG22" s="681"/>
      <c r="AH22" s="681"/>
      <c r="AI22" s="681"/>
      <c r="AJ22" s="680"/>
      <c r="AK22" s="680"/>
      <c r="AL22" s="682"/>
      <c r="AM22" s="97"/>
      <c r="AN22" s="98">
        <f t="shared" si="2"/>
        <v>0</v>
      </c>
      <c r="AO22" s="13"/>
      <c r="AP22" s="13"/>
      <c r="AR22" s="187"/>
      <c r="AS22" s="168"/>
      <c r="BC22" s="187"/>
      <c r="BD22" s="194"/>
    </row>
    <row r="23" spans="1:60" x14ac:dyDescent="0.25">
      <c r="A23" s="338" t="s">
        <v>30</v>
      </c>
      <c r="B23" s="339"/>
      <c r="C23" s="339"/>
      <c r="D23" s="339"/>
      <c r="E23" s="339"/>
      <c r="F23" s="339"/>
      <c r="G23" s="339"/>
      <c r="H23" s="339"/>
      <c r="I23" s="339"/>
      <c r="J23" s="339"/>
      <c r="K23" s="601"/>
      <c r="L23" s="483">
        <f>+AJ51</f>
        <v>1</v>
      </c>
      <c r="M23" s="483"/>
      <c r="N23" s="483"/>
      <c r="O23" s="484"/>
      <c r="P23" s="516">
        <f>+AL14*(1+M15)</f>
        <v>5.5</v>
      </c>
      <c r="Q23" s="517"/>
      <c r="R23" s="517"/>
      <c r="S23" s="518"/>
      <c r="T23" s="567">
        <f t="shared" si="1"/>
        <v>5.5</v>
      </c>
      <c r="U23" s="363"/>
      <c r="V23" s="363"/>
      <c r="W23" s="568"/>
      <c r="X23" s="75"/>
      <c r="Y23" s="75"/>
      <c r="Z23" s="75"/>
      <c r="AA23" s="65"/>
      <c r="AB23" s="428">
        <f>+$X$3+3</f>
        <v>46057</v>
      </c>
      <c r="AC23" s="428">
        <f>+$D$6+3</f>
        <v>3</v>
      </c>
      <c r="AD23" s="680"/>
      <c r="AE23" s="680"/>
      <c r="AF23" s="680"/>
      <c r="AG23" s="681"/>
      <c r="AH23" s="681"/>
      <c r="AI23" s="681"/>
      <c r="AJ23" s="680"/>
      <c r="AK23" s="680"/>
      <c r="AL23" s="682"/>
      <c r="AM23" s="97"/>
      <c r="AN23" s="98">
        <f t="shared" si="2"/>
        <v>0</v>
      </c>
      <c r="AO23" s="13"/>
      <c r="AP23" s="13"/>
      <c r="AR23" s="187"/>
      <c r="AS23" s="168"/>
      <c r="BC23" s="187"/>
      <c r="BD23" s="194"/>
      <c r="BG23" s="13" t="s">
        <v>209</v>
      </c>
      <c r="BH23" s="13">
        <f>+VLOOKUP(X3,BC20:BD23,2,TRUE)</f>
        <v>3022</v>
      </c>
    </row>
    <row r="24" spans="1:60" x14ac:dyDescent="0.25">
      <c r="A24" s="503" t="s">
        <v>31</v>
      </c>
      <c r="B24" s="522" t="s">
        <v>32</v>
      </c>
      <c r="C24" s="523"/>
      <c r="D24" s="523"/>
      <c r="E24" s="523"/>
      <c r="F24" s="523"/>
      <c r="G24" s="523"/>
      <c r="H24" s="523"/>
      <c r="I24" s="523"/>
      <c r="J24" s="523"/>
      <c r="K24" s="524"/>
      <c r="L24" s="483">
        <f>+IF(AR38=BX1,-1*'Retenue sur salaire'!I38,-1*'Retenue sur salaire'!I39)</f>
        <v>0</v>
      </c>
      <c r="M24" s="483"/>
      <c r="N24" s="483"/>
      <c r="O24" s="484"/>
      <c r="P24" s="516" t="e">
        <f>+T24/L24</f>
        <v>#DIV/0!</v>
      </c>
      <c r="Q24" s="517"/>
      <c r="R24" s="517"/>
      <c r="S24" s="518"/>
      <c r="T24" s="519">
        <f>+-1*'Retenue sur salaire'!H26</f>
        <v>0</v>
      </c>
      <c r="U24" s="520"/>
      <c r="V24" s="520"/>
      <c r="W24" s="521"/>
      <c r="X24" s="74"/>
      <c r="Y24" s="74"/>
      <c r="Z24" s="74"/>
      <c r="AA24" s="65"/>
      <c r="AB24" s="428">
        <f>+$X$3+4</f>
        <v>46058</v>
      </c>
      <c r="AC24" s="428">
        <f>+$D$6+4</f>
        <v>4</v>
      </c>
      <c r="AD24" s="680">
        <v>10</v>
      </c>
      <c r="AE24" s="680"/>
      <c r="AF24" s="680"/>
      <c r="AG24" s="681"/>
      <c r="AH24" s="681"/>
      <c r="AI24" s="681"/>
      <c r="AJ24" s="680"/>
      <c r="AK24" s="680"/>
      <c r="AL24" s="682"/>
      <c r="AM24" s="97"/>
      <c r="AN24" s="98">
        <f t="shared" si="2"/>
        <v>10</v>
      </c>
      <c r="AO24" s="13"/>
      <c r="AP24" s="13"/>
      <c r="AR24" s="187"/>
      <c r="AS24" s="168"/>
    </row>
    <row r="25" spans="1:60" x14ac:dyDescent="0.25">
      <c r="A25" s="504"/>
      <c r="B25" s="513" t="s">
        <v>33</v>
      </c>
      <c r="C25" s="514"/>
      <c r="D25" s="514"/>
      <c r="E25" s="514"/>
      <c r="F25" s="514"/>
      <c r="G25" s="514"/>
      <c r="H25" s="514"/>
      <c r="I25" s="514"/>
      <c r="J25" s="514"/>
      <c r="K25" s="515"/>
      <c r="L25" s="483">
        <f>+IF(AR38=BX1,-1*'Retenue sur salaire'!I43,-1*'Retenue sur salaire'!I44)</f>
        <v>0</v>
      </c>
      <c r="M25" s="483"/>
      <c r="N25" s="483"/>
      <c r="O25" s="484"/>
      <c r="P25" s="516" t="e">
        <f>+T25/L25</f>
        <v>#DIV/0!</v>
      </c>
      <c r="Q25" s="517"/>
      <c r="R25" s="517"/>
      <c r="S25" s="518"/>
      <c r="T25" s="519">
        <f>+-1*'Retenue sur salaire'!H29</f>
        <v>0</v>
      </c>
      <c r="U25" s="520"/>
      <c r="V25" s="520"/>
      <c r="W25" s="521"/>
      <c r="X25" s="99"/>
      <c r="Y25" s="99"/>
      <c r="Z25" s="99"/>
      <c r="AA25" s="65"/>
      <c r="AB25" s="428">
        <f>+$X$3+5</f>
        <v>46059</v>
      </c>
      <c r="AC25" s="428">
        <f>+$D$6+5</f>
        <v>5</v>
      </c>
      <c r="AD25" s="680">
        <v>10</v>
      </c>
      <c r="AE25" s="680"/>
      <c r="AF25" s="680"/>
      <c r="AG25" s="681"/>
      <c r="AH25" s="681"/>
      <c r="AI25" s="681"/>
      <c r="AJ25" s="680"/>
      <c r="AK25" s="680"/>
      <c r="AL25" s="682"/>
      <c r="AM25" s="97"/>
      <c r="AN25" s="98">
        <f t="shared" si="2"/>
        <v>10</v>
      </c>
      <c r="AO25" s="13"/>
      <c r="AP25" s="13"/>
    </row>
    <row r="26" spans="1:60" x14ac:dyDescent="0.25">
      <c r="A26" s="497" t="s">
        <v>34</v>
      </c>
      <c r="B26" s="695"/>
      <c r="C26" s="696"/>
      <c r="D26" s="696"/>
      <c r="E26" s="696"/>
      <c r="F26" s="696"/>
      <c r="G26" s="696"/>
      <c r="H26" s="696"/>
      <c r="I26" s="696"/>
      <c r="J26" s="696"/>
      <c r="K26" s="697"/>
      <c r="L26" s="295"/>
      <c r="M26" s="295"/>
      <c r="N26" s="295"/>
      <c r="O26" s="489"/>
      <c r="P26" s="490"/>
      <c r="Q26" s="295"/>
      <c r="R26" s="295"/>
      <c r="S26" s="489"/>
      <c r="T26" s="693"/>
      <c r="U26" s="691"/>
      <c r="V26" s="691"/>
      <c r="W26" s="694"/>
      <c r="AA26" s="65"/>
      <c r="AB26" s="428">
        <f>+$X$3+6</f>
        <v>46060</v>
      </c>
      <c r="AC26" s="428">
        <f>+$D$6+6</f>
        <v>6</v>
      </c>
      <c r="AD26" s="680">
        <v>10</v>
      </c>
      <c r="AE26" s="680"/>
      <c r="AF26" s="680"/>
      <c r="AG26" s="681"/>
      <c r="AH26" s="681"/>
      <c r="AI26" s="681"/>
      <c r="AJ26" s="680">
        <v>1</v>
      </c>
      <c r="AK26" s="680"/>
      <c r="AL26" s="682"/>
      <c r="AM26" s="97"/>
      <c r="AN26" s="98">
        <f t="shared" si="2"/>
        <v>11</v>
      </c>
      <c r="AO26" s="13"/>
      <c r="AP26" s="13"/>
    </row>
    <row r="27" spans="1:60" x14ac:dyDescent="0.25">
      <c r="A27" s="498"/>
      <c r="B27" s="698"/>
      <c r="C27" s="699"/>
      <c r="D27" s="699"/>
      <c r="E27" s="699"/>
      <c r="F27" s="699"/>
      <c r="G27" s="699"/>
      <c r="H27" s="699"/>
      <c r="I27" s="699"/>
      <c r="J27" s="699"/>
      <c r="K27" s="700"/>
      <c r="L27" s="520"/>
      <c r="M27" s="520"/>
      <c r="N27" s="520"/>
      <c r="O27" s="701"/>
      <c r="P27" s="510"/>
      <c r="Q27" s="511"/>
      <c r="R27" s="511"/>
      <c r="S27" s="512"/>
      <c r="T27" s="693"/>
      <c r="U27" s="691"/>
      <c r="V27" s="691"/>
      <c r="W27" s="694"/>
      <c r="X27" s="99"/>
      <c r="Y27" s="99"/>
      <c r="Z27" s="99"/>
      <c r="AA27" s="65"/>
      <c r="AB27" s="428">
        <f>+$X$3+7</f>
        <v>46061</v>
      </c>
      <c r="AC27" s="428">
        <f>+$D$6+7</f>
        <v>7</v>
      </c>
      <c r="AD27" s="680">
        <v>10</v>
      </c>
      <c r="AE27" s="680"/>
      <c r="AF27" s="680"/>
      <c r="AG27" s="681"/>
      <c r="AH27" s="681"/>
      <c r="AI27" s="681"/>
      <c r="AJ27" s="680"/>
      <c r="AK27" s="680"/>
      <c r="AL27" s="682"/>
      <c r="AM27" s="97"/>
      <c r="AN27" s="98">
        <f t="shared" si="2"/>
        <v>10</v>
      </c>
      <c r="AO27" s="13"/>
      <c r="AP27" s="13"/>
    </row>
    <row r="28" spans="1:60" x14ac:dyDescent="0.25">
      <c r="A28" s="498"/>
      <c r="B28" s="480" t="s">
        <v>212</v>
      </c>
      <c r="C28" s="481"/>
      <c r="D28" s="481"/>
      <c r="E28" s="481"/>
      <c r="F28" s="481"/>
      <c r="G28" s="481"/>
      <c r="H28" s="481"/>
      <c r="I28" s="481"/>
      <c r="J28" s="481"/>
      <c r="K28" s="482"/>
      <c r="L28" s="295"/>
      <c r="M28" s="295"/>
      <c r="N28" s="295"/>
      <c r="O28" s="489"/>
      <c r="P28" s="490"/>
      <c r="Q28" s="295"/>
      <c r="R28" s="295"/>
      <c r="S28" s="489"/>
      <c r="T28" s="693"/>
      <c r="U28" s="691"/>
      <c r="V28" s="691"/>
      <c r="W28" s="694"/>
      <c r="X28" s="99"/>
      <c r="Y28" s="99"/>
      <c r="Z28" s="99"/>
      <c r="AA28" s="88"/>
      <c r="AB28" s="428">
        <f>+$X$3+8</f>
        <v>46062</v>
      </c>
      <c r="AC28" s="428">
        <f>+$D$6+8</f>
        <v>8</v>
      </c>
      <c r="AD28" s="680">
        <v>7</v>
      </c>
      <c r="AE28" s="680"/>
      <c r="AF28" s="680"/>
      <c r="AG28" s="681"/>
      <c r="AH28" s="681"/>
      <c r="AI28" s="681"/>
      <c r="AJ28" s="680"/>
      <c r="AK28" s="680"/>
      <c r="AL28" s="682"/>
      <c r="AM28" s="97"/>
      <c r="AN28" s="98">
        <f t="shared" si="2"/>
        <v>7</v>
      </c>
      <c r="AO28" s="13"/>
      <c r="AP28" s="13"/>
    </row>
    <row r="29" spans="1:60" x14ac:dyDescent="0.25">
      <c r="A29" s="498"/>
      <c r="B29" s="480" t="s">
        <v>36</v>
      </c>
      <c r="C29" s="481"/>
      <c r="D29" s="481"/>
      <c r="E29" s="481"/>
      <c r="F29" s="481"/>
      <c r="G29" s="481"/>
      <c r="H29" s="481"/>
      <c r="I29" s="481"/>
      <c r="J29" s="481"/>
      <c r="K29" s="482"/>
      <c r="L29" s="295"/>
      <c r="M29" s="295"/>
      <c r="N29" s="295"/>
      <c r="O29" s="489"/>
      <c r="P29" s="485"/>
      <c r="Q29" s="483"/>
      <c r="R29" s="483"/>
      <c r="S29" s="484"/>
      <c r="T29" s="693"/>
      <c r="U29" s="691"/>
      <c r="V29" s="691"/>
      <c r="W29" s="694"/>
      <c r="X29" s="99"/>
      <c r="Y29" s="99"/>
      <c r="Z29" s="99"/>
      <c r="AB29" s="428">
        <f>+$X$3+9</f>
        <v>46063</v>
      </c>
      <c r="AC29" s="428">
        <f>+$D$6+9</f>
        <v>9</v>
      </c>
      <c r="AD29" s="680"/>
      <c r="AE29" s="680"/>
      <c r="AF29" s="680"/>
      <c r="AG29" s="681"/>
      <c r="AH29" s="681"/>
      <c r="AI29" s="681"/>
      <c r="AJ29" s="680"/>
      <c r="AK29" s="680"/>
      <c r="AL29" s="682"/>
      <c r="AM29" s="97"/>
      <c r="AN29" s="98">
        <f t="shared" si="2"/>
        <v>0</v>
      </c>
      <c r="AO29" s="13"/>
      <c r="AP29" s="13"/>
    </row>
    <row r="30" spans="1:60" x14ac:dyDescent="0.25">
      <c r="A30" s="498"/>
      <c r="B30" s="480" t="s">
        <v>37</v>
      </c>
      <c r="C30" s="481"/>
      <c r="D30" s="481"/>
      <c r="E30" s="481"/>
      <c r="F30" s="481"/>
      <c r="G30" s="481"/>
      <c r="H30" s="481"/>
      <c r="I30" s="481"/>
      <c r="J30" s="481"/>
      <c r="K30" s="482"/>
      <c r="L30" s="483"/>
      <c r="M30" s="483"/>
      <c r="N30" s="483"/>
      <c r="O30" s="484"/>
      <c r="P30" s="485"/>
      <c r="Q30" s="483"/>
      <c r="R30" s="483"/>
      <c r="S30" s="484"/>
      <c r="T30" s="690"/>
      <c r="U30" s="691"/>
      <c r="V30" s="691"/>
      <c r="W30" s="692"/>
      <c r="X30" s="99"/>
      <c r="Y30" s="99"/>
      <c r="Z30" s="99"/>
      <c r="AA30" s="73"/>
      <c r="AB30" s="428">
        <f>+$X$3+10</f>
        <v>46064</v>
      </c>
      <c r="AC30" s="428">
        <f>+$D$6+10</f>
        <v>10</v>
      </c>
      <c r="AD30" s="680"/>
      <c r="AE30" s="680"/>
      <c r="AF30" s="680"/>
      <c r="AG30" s="681"/>
      <c r="AH30" s="681"/>
      <c r="AI30" s="681"/>
      <c r="AJ30" s="680"/>
      <c r="AK30" s="680"/>
      <c r="AL30" s="682"/>
      <c r="AM30" s="97"/>
      <c r="AN30" s="98">
        <f t="shared" si="2"/>
        <v>0</v>
      </c>
      <c r="AO30" s="13"/>
      <c r="AP30" s="13"/>
      <c r="AR30" s="541" t="s">
        <v>124</v>
      </c>
      <c r="AS30" s="541"/>
      <c r="AT30" s="541"/>
      <c r="AU30" s="541"/>
    </row>
    <row r="31" spans="1:60" x14ac:dyDescent="0.25">
      <c r="A31" s="498"/>
      <c r="B31" s="480" t="s">
        <v>38</v>
      </c>
      <c r="C31" s="481"/>
      <c r="D31" s="481"/>
      <c r="E31" s="481"/>
      <c r="F31" s="481"/>
      <c r="G31" s="481"/>
      <c r="H31" s="481"/>
      <c r="I31" s="481"/>
      <c r="J31" s="481"/>
      <c r="K31" s="482"/>
      <c r="L31" s="483"/>
      <c r="M31" s="483"/>
      <c r="N31" s="483"/>
      <c r="O31" s="484"/>
      <c r="P31" s="485"/>
      <c r="Q31" s="483"/>
      <c r="R31" s="483"/>
      <c r="S31" s="484"/>
      <c r="T31" s="690"/>
      <c r="U31" s="691"/>
      <c r="V31" s="691"/>
      <c r="W31" s="692"/>
      <c r="X31" s="99"/>
      <c r="Y31" s="99"/>
      <c r="Z31" s="99"/>
      <c r="AA31" s="65"/>
      <c r="AB31" s="428">
        <f>+$X$3+11</f>
        <v>46065</v>
      </c>
      <c r="AC31" s="428">
        <f>+$D$6+11</f>
        <v>11</v>
      </c>
      <c r="AD31" s="680">
        <v>10</v>
      </c>
      <c r="AE31" s="680"/>
      <c r="AF31" s="680"/>
      <c r="AG31" s="681"/>
      <c r="AH31" s="681"/>
      <c r="AI31" s="681"/>
      <c r="AJ31" s="680"/>
      <c r="AK31" s="680"/>
      <c r="AL31" s="682"/>
      <c r="AM31" s="97"/>
      <c r="AN31" s="98">
        <f t="shared" si="2"/>
        <v>10</v>
      </c>
      <c r="AO31" s="13"/>
      <c r="AP31" s="13"/>
      <c r="AR31" s="541"/>
      <c r="AS31" s="541"/>
      <c r="AT31" s="541"/>
      <c r="AU31" s="541"/>
    </row>
    <row r="32" spans="1:60" x14ac:dyDescent="0.25">
      <c r="A32" s="499"/>
      <c r="B32" s="684" t="s">
        <v>39</v>
      </c>
      <c r="C32" s="685"/>
      <c r="D32" s="685"/>
      <c r="E32" s="685"/>
      <c r="F32" s="685"/>
      <c r="G32" s="685"/>
      <c r="H32" s="685"/>
      <c r="I32" s="685"/>
      <c r="J32" s="685"/>
      <c r="K32" s="686"/>
      <c r="L32" s="474"/>
      <c r="M32" s="474"/>
      <c r="N32" s="474"/>
      <c r="O32" s="475"/>
      <c r="P32" s="476"/>
      <c r="Q32" s="474"/>
      <c r="R32" s="474"/>
      <c r="S32" s="475"/>
      <c r="T32" s="687"/>
      <c r="U32" s="688"/>
      <c r="V32" s="688"/>
      <c r="W32" s="689"/>
      <c r="X32" s="99"/>
      <c r="Y32" s="99"/>
      <c r="Z32" s="99"/>
      <c r="AA32" s="65"/>
      <c r="AB32" s="428">
        <f>+$X$3+12</f>
        <v>46066</v>
      </c>
      <c r="AC32" s="428">
        <f>+$D$6+12</f>
        <v>12</v>
      </c>
      <c r="AD32" s="680">
        <v>10</v>
      </c>
      <c r="AE32" s="680"/>
      <c r="AF32" s="680"/>
      <c r="AG32" s="681"/>
      <c r="AH32" s="681"/>
      <c r="AI32" s="681"/>
      <c r="AJ32" s="680"/>
      <c r="AK32" s="680"/>
      <c r="AL32" s="682"/>
      <c r="AM32" s="97"/>
      <c r="AN32" s="98">
        <f t="shared" si="2"/>
        <v>10</v>
      </c>
      <c r="AO32" s="13"/>
      <c r="AP32" s="13"/>
      <c r="AR32" s="541"/>
      <c r="AS32" s="541"/>
      <c r="AT32" s="541"/>
      <c r="AU32" s="541"/>
    </row>
    <row r="33" spans="1:47" x14ac:dyDescent="0.25">
      <c r="L33" s="493" t="s">
        <v>40</v>
      </c>
      <c r="M33" s="494"/>
      <c r="N33" s="494"/>
      <c r="O33" s="494"/>
      <c r="P33" s="494"/>
      <c r="Q33" s="494"/>
      <c r="R33" s="494"/>
      <c r="S33" s="495"/>
      <c r="T33" s="496">
        <f>+SUM(T19:W32)</f>
        <v>555.5</v>
      </c>
      <c r="U33" s="276"/>
      <c r="V33" s="276"/>
      <c r="W33" s="277"/>
      <c r="X33" s="100"/>
      <c r="Y33" s="100"/>
      <c r="Z33" s="100"/>
      <c r="AA33" s="65"/>
      <c r="AB33" s="428">
        <f>+$X$3+13</f>
        <v>46067</v>
      </c>
      <c r="AC33" s="428">
        <f>+$D$6+13</f>
        <v>13</v>
      </c>
      <c r="AD33" s="680">
        <v>10</v>
      </c>
      <c r="AE33" s="680"/>
      <c r="AF33" s="680"/>
      <c r="AG33" s="681"/>
      <c r="AH33" s="681"/>
      <c r="AI33" s="681"/>
      <c r="AJ33" s="680"/>
      <c r="AK33" s="680"/>
      <c r="AL33" s="682"/>
      <c r="AM33" s="97"/>
      <c r="AN33" s="98">
        <f t="shared" si="2"/>
        <v>10</v>
      </c>
      <c r="AO33" s="13"/>
      <c r="AP33" s="13"/>
      <c r="AR33" s="169" t="s">
        <v>109</v>
      </c>
      <c r="AS33" s="155"/>
      <c r="AT33" s="155"/>
      <c r="AU33" s="155"/>
    </row>
    <row r="34" spans="1:47" x14ac:dyDescent="0.25">
      <c r="J34" s="61"/>
      <c r="K34" s="61"/>
      <c r="L34" s="61"/>
      <c r="M34" s="61"/>
      <c r="N34" s="61"/>
      <c r="O34" s="101"/>
      <c r="P34" s="100"/>
      <c r="Q34" s="100"/>
      <c r="R34" s="100"/>
      <c r="S34" s="100"/>
      <c r="T34" s="100"/>
      <c r="U34" s="100"/>
      <c r="V34" s="100"/>
      <c r="W34" s="100"/>
      <c r="X34" s="100"/>
      <c r="Y34" s="100"/>
      <c r="Z34" s="100"/>
      <c r="AB34" s="428">
        <f>+$X$3+14</f>
        <v>46068</v>
      </c>
      <c r="AC34" s="428">
        <f>+$D$6+13</f>
        <v>13</v>
      </c>
      <c r="AD34" s="680">
        <v>10</v>
      </c>
      <c r="AE34" s="680"/>
      <c r="AF34" s="680"/>
      <c r="AG34" s="681"/>
      <c r="AH34" s="681"/>
      <c r="AI34" s="681"/>
      <c r="AJ34" s="680"/>
      <c r="AK34" s="680"/>
      <c r="AL34" s="682"/>
      <c r="AM34" s="97"/>
      <c r="AN34" s="98">
        <f t="shared" si="2"/>
        <v>10</v>
      </c>
      <c r="AO34" s="13"/>
      <c r="AP34" s="13"/>
    </row>
    <row r="35" spans="1:47" x14ac:dyDescent="0.25">
      <c r="H35" s="345" t="s">
        <v>41</v>
      </c>
      <c r="I35" s="346"/>
      <c r="J35" s="346"/>
      <c r="K35" s="346"/>
      <c r="L35" s="346"/>
      <c r="M35" s="346"/>
      <c r="N35" s="346"/>
      <c r="O35" s="346"/>
      <c r="P35" s="347"/>
      <c r="R35" s="466" t="s">
        <v>42</v>
      </c>
      <c r="S35" s="467"/>
      <c r="T35" s="467"/>
      <c r="U35" s="467"/>
      <c r="V35" s="467"/>
      <c r="W35" s="467"/>
      <c r="X35" s="467"/>
      <c r="Y35" s="467"/>
      <c r="Z35" s="468"/>
      <c r="AA35" s="65"/>
      <c r="AB35" s="428">
        <f>+$X$3+15</f>
        <v>46069</v>
      </c>
      <c r="AC35" s="428">
        <f>+$D$6+15</f>
        <v>15</v>
      </c>
      <c r="AD35" s="680">
        <v>7</v>
      </c>
      <c r="AE35" s="680"/>
      <c r="AF35" s="680"/>
      <c r="AG35" s="681"/>
      <c r="AH35" s="681"/>
      <c r="AI35" s="681"/>
      <c r="AJ35" s="680"/>
      <c r="AK35" s="680"/>
      <c r="AL35" s="682"/>
      <c r="AM35" s="97"/>
      <c r="AN35" s="98">
        <f t="shared" si="2"/>
        <v>7</v>
      </c>
      <c r="AO35" s="13"/>
      <c r="AP35" s="13"/>
    </row>
    <row r="36" spans="1:47" x14ac:dyDescent="0.25">
      <c r="A36" s="456" t="s">
        <v>43</v>
      </c>
      <c r="B36" s="456"/>
      <c r="C36" s="456"/>
      <c r="D36" s="456"/>
      <c r="E36" s="456"/>
      <c r="F36" s="456"/>
      <c r="G36" s="457"/>
      <c r="H36" s="458" t="s">
        <v>22</v>
      </c>
      <c r="I36" s="459"/>
      <c r="J36" s="460"/>
      <c r="K36" s="461" t="s">
        <v>23</v>
      </c>
      <c r="L36" s="459"/>
      <c r="M36" s="460"/>
      <c r="N36" s="461" t="s">
        <v>24</v>
      </c>
      <c r="O36" s="459"/>
      <c r="P36" s="462"/>
      <c r="Q36" s="73"/>
      <c r="R36" s="463" t="s">
        <v>22</v>
      </c>
      <c r="S36" s="464"/>
      <c r="T36" s="465"/>
      <c r="U36" s="463" t="s">
        <v>23</v>
      </c>
      <c r="V36" s="464"/>
      <c r="W36" s="465"/>
      <c r="X36" s="463" t="s">
        <v>24</v>
      </c>
      <c r="Y36" s="464"/>
      <c r="Z36" s="465"/>
      <c r="AA36" s="65"/>
      <c r="AB36" s="428">
        <f>+$X$3+16</f>
        <v>46070</v>
      </c>
      <c r="AC36" s="428">
        <f>+$D$6+16</f>
        <v>16</v>
      </c>
      <c r="AD36" s="680"/>
      <c r="AE36" s="680"/>
      <c r="AF36" s="680"/>
      <c r="AG36" s="681"/>
      <c r="AH36" s="681"/>
      <c r="AI36" s="681"/>
      <c r="AJ36" s="680"/>
      <c r="AK36" s="680"/>
      <c r="AL36" s="682"/>
      <c r="AM36" s="97"/>
      <c r="AN36" s="98">
        <f t="shared" si="2"/>
        <v>0</v>
      </c>
      <c r="AO36" s="13"/>
      <c r="AP36" s="13"/>
    </row>
    <row r="37" spans="1:47" x14ac:dyDescent="0.25">
      <c r="A37" s="438" t="str">
        <f>+Taux_cotisations!A9</f>
        <v>Santé :</v>
      </c>
      <c r="B37" s="439"/>
      <c r="C37" s="439"/>
      <c r="D37" s="439"/>
      <c r="E37" s="439"/>
      <c r="F37" s="439"/>
      <c r="G37" s="440"/>
      <c r="H37" s="441"/>
      <c r="I37" s="442"/>
      <c r="J37" s="443"/>
      <c r="K37" s="444"/>
      <c r="L37" s="445"/>
      <c r="M37" s="446"/>
      <c r="N37" s="447"/>
      <c r="O37" s="448"/>
      <c r="P37" s="449"/>
      <c r="Q37" s="73"/>
      <c r="R37" s="450"/>
      <c r="S37" s="451"/>
      <c r="T37" s="452"/>
      <c r="U37" s="453"/>
      <c r="V37" s="454"/>
      <c r="W37" s="455"/>
      <c r="X37" s="469"/>
      <c r="Y37" s="469"/>
      <c r="Z37" s="470"/>
      <c r="AA37" s="65"/>
      <c r="AB37" s="428">
        <f>+$X$3+17</f>
        <v>46071</v>
      </c>
      <c r="AC37" s="428">
        <f>+$D$6+17</f>
        <v>17</v>
      </c>
      <c r="AD37" s="680"/>
      <c r="AE37" s="680"/>
      <c r="AF37" s="680"/>
      <c r="AG37" s="681"/>
      <c r="AH37" s="681"/>
      <c r="AI37" s="681"/>
      <c r="AJ37" s="680"/>
      <c r="AK37" s="680"/>
      <c r="AL37" s="682"/>
      <c r="AM37" s="97"/>
      <c r="AN37" s="98">
        <f t="shared" si="2"/>
        <v>0</v>
      </c>
      <c r="AO37" s="13"/>
      <c r="AP37" s="13"/>
      <c r="AR37" s="13" t="s">
        <v>176</v>
      </c>
    </row>
    <row r="38" spans="1:47" x14ac:dyDescent="0.25">
      <c r="A38" s="432" t="str">
        <f>+Taux_cotisations!A10</f>
        <v>Séc. Soc. Maladie invalidité</v>
      </c>
      <c r="B38" s="433"/>
      <c r="C38" s="433"/>
      <c r="D38" s="433"/>
      <c r="E38" s="433"/>
      <c r="F38" s="433"/>
      <c r="G38" s="434"/>
      <c r="H38" s="318">
        <f>+T33*INDEX(table_coef_base_salariale,MATCH(A38,Taux_cotisations!$A$75:$A$102,0),MATCH($X$3,Taux_cotisations!$A$75:$M$75,0))</f>
        <v>555.5</v>
      </c>
      <c r="I38" s="319"/>
      <c r="J38" s="320"/>
      <c r="K38" s="321">
        <f>INDEX(table_taux_salariale,MATCH(A38,Taux_cotisations!$A$6:$A$33,0),MATCH($X$3,Taux_cotisations!$A$6:$M$6,0))</f>
        <v>5.2200000000000003E-2</v>
      </c>
      <c r="L38" s="322"/>
      <c r="M38" s="323"/>
      <c r="N38" s="324">
        <f>ROUND(K38*H38,4)</f>
        <v>28.9971</v>
      </c>
      <c r="O38" s="285"/>
      <c r="P38" s="325"/>
      <c r="Q38" s="74"/>
      <c r="R38" s="326">
        <f>+T33*INDEX(table_coef_base_patronale,MATCH(A38,Taux_cotisations!$A$110:$A$137,0),MATCH($X$3,Taux_cotisations!$A$110:$M$110,0))</f>
        <v>555.5</v>
      </c>
      <c r="S38" s="327"/>
      <c r="T38" s="328"/>
      <c r="U38" s="300">
        <f>INDEX(table_taux_patronales,MATCH(A38,Taux_cotisations!$A$39:$A$66,0),MATCH($X$3,Taux_cotisations!$A$39:$M$39,0))</f>
        <v>5.8000000000000003E-2</v>
      </c>
      <c r="V38" s="301"/>
      <c r="W38" s="302"/>
      <c r="X38" s="303">
        <f>ROUND(U38*R38,2)</f>
        <v>32.22</v>
      </c>
      <c r="Y38" s="304"/>
      <c r="Z38" s="304"/>
      <c r="AA38" s="65"/>
      <c r="AB38" s="428">
        <f>+$X$3+18</f>
        <v>46072</v>
      </c>
      <c r="AC38" s="428">
        <f>+$D$6+18</f>
        <v>18</v>
      </c>
      <c r="AD38" s="680">
        <v>10</v>
      </c>
      <c r="AE38" s="680"/>
      <c r="AF38" s="680"/>
      <c r="AG38" s="681"/>
      <c r="AH38" s="681"/>
      <c r="AI38" s="681"/>
      <c r="AJ38" s="680"/>
      <c r="AK38" s="680"/>
      <c r="AL38" s="682"/>
      <c r="AM38" s="97"/>
      <c r="AN38" s="98">
        <f t="shared" si="2"/>
        <v>10</v>
      </c>
      <c r="AO38" s="13"/>
      <c r="AP38" s="13"/>
      <c r="AR38" s="683" t="s">
        <v>178</v>
      </c>
      <c r="AS38" s="683"/>
    </row>
    <row r="39" spans="1:47" x14ac:dyDescent="0.25">
      <c r="A39" s="432" t="str">
        <f>+Taux_cotisations!A11</f>
        <v>Prévoyance T1</v>
      </c>
      <c r="B39" s="433"/>
      <c r="C39" s="433"/>
      <c r="D39" s="433"/>
      <c r="E39" s="433"/>
      <c r="F39" s="433"/>
      <c r="G39" s="434"/>
      <c r="H39" s="318">
        <f>IF(AND(T33&gt;=BH23,T33&gt;0),BH23*INDEX(table_coef_base_salariale,MATCH(A39,Taux_cotisations!$A$75:$A$102,0),MATCH($X$3,Taux_cotisations!$A$75:$M$75,0)),+T33*INDEX(table_coef_base_salariale,MATCH(A39,Taux_cotisations!$A$75:$A$102,0),MATCH($X$3,Taux_cotisations!$A$75:$M$75,0)))</f>
        <v>555.5</v>
      </c>
      <c r="I39" s="319"/>
      <c r="J39" s="320"/>
      <c r="K39" s="321">
        <f>INDEX(table_taux_salariale,MATCH(A39,Taux_cotisations!$A$6:$A$33,0),MATCH($X$3,Taux_cotisations!$A$6:$M$6,0))</f>
        <v>1.04E-2</v>
      </c>
      <c r="L39" s="322"/>
      <c r="M39" s="323"/>
      <c r="N39" s="324">
        <f>ROUND(K39*H39,4)</f>
        <v>5.7771999999999997</v>
      </c>
      <c r="O39" s="285"/>
      <c r="P39" s="325"/>
      <c r="Q39" s="74"/>
      <c r="R39" s="326">
        <f>IF(AND(T33&gt;=BH23,T33&gt;0),BH23*INDEX(table_coef_base_patronale,MATCH(A39,Taux_cotisations!$A$110:$A$137,0),MATCH($X$3,Taux_cotisations!$A$110:$M$110,0)),+T33*INDEX(table_coef_base_patronale,MATCH(A39,Taux_cotisations!$A$110:$A$137,0),MATCH($X$3,Taux_cotisations!$A$110:$M$110,0)))</f>
        <v>555.5</v>
      </c>
      <c r="S39" s="327"/>
      <c r="T39" s="328"/>
      <c r="U39" s="300">
        <f>INDEX(table_taux_patronales,MATCH(A39,Taux_cotisations!$A$39:$A$66,0),MATCH($X$3,Taux_cotisations!$A$39:$M$39,0))</f>
        <v>2.4500000000000001E-2</v>
      </c>
      <c r="V39" s="301"/>
      <c r="W39" s="302"/>
      <c r="X39" s="303">
        <f>ROUND(U39*R39,2)</f>
        <v>13.61</v>
      </c>
      <c r="Y39" s="304"/>
      <c r="Z39" s="304"/>
      <c r="AA39" s="65"/>
      <c r="AB39" s="428">
        <f>+$X$3+19</f>
        <v>46073</v>
      </c>
      <c r="AC39" s="428">
        <f>+$D$6+19</f>
        <v>19</v>
      </c>
      <c r="AD39" s="680">
        <v>10</v>
      </c>
      <c r="AE39" s="680"/>
      <c r="AF39" s="680"/>
      <c r="AG39" s="681"/>
      <c r="AH39" s="681"/>
      <c r="AI39" s="681"/>
      <c r="AJ39" s="680"/>
      <c r="AK39" s="680"/>
      <c r="AL39" s="682"/>
      <c r="AM39" s="97"/>
      <c r="AN39" s="98">
        <f t="shared" si="2"/>
        <v>10</v>
      </c>
      <c r="AO39" s="13"/>
      <c r="AP39" s="13"/>
    </row>
    <row r="40" spans="1:47" x14ac:dyDescent="0.25">
      <c r="A40" s="432" t="str">
        <f>+Taux_cotisations!A12</f>
        <v>Prévoyance T2</v>
      </c>
      <c r="B40" s="433"/>
      <c r="C40" s="433"/>
      <c r="D40" s="433"/>
      <c r="E40" s="433"/>
      <c r="F40" s="433"/>
      <c r="G40" s="434"/>
      <c r="H40" s="318"/>
      <c r="I40" s="319"/>
      <c r="J40" s="320"/>
      <c r="K40" s="321"/>
      <c r="L40" s="322"/>
      <c r="M40" s="323"/>
      <c r="N40" s="324"/>
      <c r="O40" s="285"/>
      <c r="P40" s="325"/>
      <c r="Q40" s="74"/>
      <c r="R40" s="326">
        <f>+IF(AND(T33&gt;0,T33&gt;BH23),(T33-BH23)*INDEX(table_coef_base_patronale,MATCH(A40,Taux_cotisations!$A$110:$A$137,0),MATCH($X$3,Taux_cotisations!$A$110:$M$110,0)),0)</f>
        <v>0</v>
      </c>
      <c r="S40" s="327"/>
      <c r="T40" s="328"/>
      <c r="U40" s="300">
        <f>IF(R40=0,0,INDEX(table_taux_patronales,MATCH(A40,Taux_cotisations!$A$39:$A$66,0),MATCH($X$3,Taux_cotisations!$A$39:$M$39,0)))</f>
        <v>0</v>
      </c>
      <c r="V40" s="301"/>
      <c r="W40" s="302"/>
      <c r="X40" s="303">
        <f>ROUND(U40*R40,2)</f>
        <v>0</v>
      </c>
      <c r="Y40" s="304"/>
      <c r="Z40" s="304"/>
      <c r="AA40" s="65"/>
      <c r="AB40" s="428">
        <f>+$X$3+20</f>
        <v>46074</v>
      </c>
      <c r="AC40" s="428">
        <f>+$D$6+20</f>
        <v>20</v>
      </c>
      <c r="AD40" s="680">
        <v>10</v>
      </c>
      <c r="AE40" s="680"/>
      <c r="AF40" s="680"/>
      <c r="AG40" s="681"/>
      <c r="AH40" s="681"/>
      <c r="AI40" s="681"/>
      <c r="AJ40" s="680"/>
      <c r="AK40" s="680"/>
      <c r="AL40" s="682"/>
      <c r="AM40" s="97"/>
      <c r="AN40" s="98">
        <f t="shared" si="2"/>
        <v>10</v>
      </c>
      <c r="AO40" s="13"/>
      <c r="AP40" s="13"/>
    </row>
    <row r="41" spans="1:47" x14ac:dyDescent="0.25">
      <c r="H41" s="211"/>
      <c r="J41" s="212"/>
      <c r="K41" s="211"/>
      <c r="M41" s="212"/>
      <c r="N41" s="324"/>
      <c r="O41" s="285"/>
      <c r="P41" s="325"/>
      <c r="R41" s="326"/>
      <c r="S41" s="327"/>
      <c r="T41" s="328"/>
      <c r="U41" s="300"/>
      <c r="V41" s="301"/>
      <c r="W41" s="302"/>
      <c r="X41" s="303"/>
      <c r="Y41" s="304"/>
      <c r="Z41" s="304"/>
      <c r="AA41" s="101"/>
      <c r="AB41" s="428">
        <f>+$X$3+21</f>
        <v>46075</v>
      </c>
      <c r="AC41" s="428">
        <f>+$D$6+21</f>
        <v>21</v>
      </c>
      <c r="AD41" s="680">
        <v>10</v>
      </c>
      <c r="AE41" s="680"/>
      <c r="AF41" s="680"/>
      <c r="AG41" s="681"/>
      <c r="AH41" s="681"/>
      <c r="AI41" s="681"/>
      <c r="AJ41" s="680"/>
      <c r="AK41" s="680"/>
      <c r="AL41" s="682"/>
      <c r="AM41" s="97"/>
      <c r="AN41" s="98">
        <f t="shared" si="2"/>
        <v>10</v>
      </c>
      <c r="AO41" s="13"/>
      <c r="AP41" s="13"/>
    </row>
    <row r="42" spans="1:47" x14ac:dyDescent="0.25">
      <c r="A42" s="435" t="str">
        <f>+Taux_cotisations!A13</f>
        <v>Accident du travail :</v>
      </c>
      <c r="B42" s="436"/>
      <c r="C42" s="436"/>
      <c r="D42" s="436"/>
      <c r="E42" s="436"/>
      <c r="F42" s="436"/>
      <c r="G42" s="437"/>
      <c r="H42" s="318"/>
      <c r="I42" s="319"/>
      <c r="J42" s="320"/>
      <c r="K42" s="321"/>
      <c r="L42" s="322"/>
      <c r="M42" s="323"/>
      <c r="N42" s="324"/>
      <c r="O42" s="285"/>
      <c r="P42" s="325"/>
      <c r="R42" s="326">
        <f>+T33*INDEX(table_coef_base_patronale,MATCH(A42,Taux_cotisations!$A$110:$A$137,0),MATCH($X$3,Taux_cotisations!$A$110:$M$110,0))</f>
        <v>555.5</v>
      </c>
      <c r="S42" s="327"/>
      <c r="T42" s="328"/>
      <c r="U42" s="300">
        <f>INDEX(table_taux_patronales,MATCH(A42,Taux_cotisations!$A$39:$A$66,0),MATCH($X$3,Taux_cotisations!$A$39:$M$39,0))</f>
        <v>9.1000000000000004E-3</v>
      </c>
      <c r="V42" s="301"/>
      <c r="W42" s="302"/>
      <c r="X42" s="303">
        <f>ROUND(U42*R42,2)</f>
        <v>5.0599999999999996</v>
      </c>
      <c r="Y42" s="304"/>
      <c r="Z42" s="304"/>
      <c r="AA42" s="101"/>
      <c r="AB42" s="428">
        <f>+$X$3+22</f>
        <v>46076</v>
      </c>
      <c r="AC42" s="428">
        <f>+$D$6+22</f>
        <v>22</v>
      </c>
      <c r="AD42" s="680">
        <v>7</v>
      </c>
      <c r="AE42" s="680"/>
      <c r="AF42" s="680"/>
      <c r="AG42" s="681"/>
      <c r="AH42" s="681"/>
      <c r="AI42" s="681"/>
      <c r="AJ42" s="680"/>
      <c r="AK42" s="680"/>
      <c r="AL42" s="682"/>
      <c r="AM42" s="97"/>
      <c r="AN42" s="98">
        <f t="shared" si="2"/>
        <v>7</v>
      </c>
      <c r="AO42" s="13"/>
      <c r="AP42" s="13"/>
    </row>
    <row r="43" spans="1:47" x14ac:dyDescent="0.25">
      <c r="H43" s="211"/>
      <c r="J43" s="212"/>
      <c r="K43" s="321"/>
      <c r="L43" s="322"/>
      <c r="M43" s="323"/>
      <c r="N43" s="324"/>
      <c r="O43" s="285"/>
      <c r="P43" s="325"/>
      <c r="R43" s="326"/>
      <c r="S43" s="327"/>
      <c r="T43" s="328"/>
      <c r="U43" s="300"/>
      <c r="V43" s="301"/>
      <c r="W43" s="302"/>
      <c r="X43" s="303"/>
      <c r="Y43" s="304"/>
      <c r="Z43" s="304"/>
      <c r="AB43" s="428">
        <f>+$X$3+23</f>
        <v>46077</v>
      </c>
      <c r="AC43" s="428">
        <f>+$D$6+23</f>
        <v>23</v>
      </c>
      <c r="AD43" s="680"/>
      <c r="AE43" s="680"/>
      <c r="AF43" s="680"/>
      <c r="AG43" s="681"/>
      <c r="AH43" s="681"/>
      <c r="AI43" s="681"/>
      <c r="AJ43" s="680"/>
      <c r="AK43" s="680"/>
      <c r="AL43" s="682"/>
      <c r="AM43" s="97"/>
      <c r="AN43" s="98">
        <f t="shared" si="2"/>
        <v>0</v>
      </c>
      <c r="AO43" s="13"/>
      <c r="AP43" s="13"/>
    </row>
    <row r="44" spans="1:47" x14ac:dyDescent="0.25">
      <c r="A44" s="435" t="str">
        <f>+Taux_cotisations!A14</f>
        <v>Retraite :</v>
      </c>
      <c r="B44" s="436"/>
      <c r="C44" s="436"/>
      <c r="D44" s="436"/>
      <c r="E44" s="436"/>
      <c r="F44" s="436"/>
      <c r="G44" s="437"/>
      <c r="H44" s="318"/>
      <c r="I44" s="319"/>
      <c r="J44" s="320"/>
      <c r="K44" s="321"/>
      <c r="L44" s="322"/>
      <c r="M44" s="323"/>
      <c r="N44" s="324"/>
      <c r="O44" s="285"/>
      <c r="P44" s="325"/>
      <c r="Q44" s="74"/>
      <c r="R44" s="326"/>
      <c r="S44" s="327"/>
      <c r="T44" s="328"/>
      <c r="U44" s="300"/>
      <c r="V44" s="301"/>
      <c r="W44" s="302"/>
      <c r="X44" s="303"/>
      <c r="Y44" s="304"/>
      <c r="Z44" s="304"/>
      <c r="AA44" s="73"/>
      <c r="AB44" s="428">
        <f>+$X$3+24</f>
        <v>46078</v>
      </c>
      <c r="AC44" s="428">
        <f>+$D$6+24</f>
        <v>24</v>
      </c>
      <c r="AD44" s="680"/>
      <c r="AE44" s="680"/>
      <c r="AF44" s="680"/>
      <c r="AG44" s="681"/>
      <c r="AH44" s="681"/>
      <c r="AI44" s="681"/>
      <c r="AJ44" s="680"/>
      <c r="AK44" s="680"/>
      <c r="AL44" s="682"/>
      <c r="AM44" s="97"/>
      <c r="AN44" s="98">
        <f t="shared" si="2"/>
        <v>0</v>
      </c>
      <c r="AO44" s="13"/>
      <c r="AP44" s="13"/>
    </row>
    <row r="45" spans="1:47" x14ac:dyDescent="0.25">
      <c r="A45" s="432" t="str">
        <f>+Taux_cotisations!A15</f>
        <v>Retraite SS T1</v>
      </c>
      <c r="B45" s="433"/>
      <c r="C45" s="433"/>
      <c r="D45" s="433"/>
      <c r="E45" s="433"/>
      <c r="F45" s="433"/>
      <c r="G45" s="434"/>
      <c r="H45" s="318">
        <f>IF(AND(T33&gt;=BH23,T33&gt;0),BH23*INDEX(table_coef_base_salariale,MATCH(A45,Taux_cotisations!$A$75:$A$102,0),MATCH($X$3,Taux_cotisations!$A$75:$M$75,0)),+T33*INDEX(table_coef_base_salariale,MATCH(A45,Taux_cotisations!$A$75:$A$102,0),MATCH($X$3,Taux_cotisations!$A$75:$M$75,0)))</f>
        <v>555.5</v>
      </c>
      <c r="I45" s="319"/>
      <c r="J45" s="320"/>
      <c r="K45" s="321">
        <f>INDEX(table_taux_salariale,MATCH(A45,Taux_cotisations!$A$6:$A$33,0),MATCH($X$3,Taux_cotisations!$A$6:$M$6,0))</f>
        <v>5.5399999999999998E-2</v>
      </c>
      <c r="L45" s="322"/>
      <c r="M45" s="323"/>
      <c r="N45" s="324">
        <f t="shared" ref="N45:N49" si="3">ROUND(K45*H45,4)</f>
        <v>30.774699999999999</v>
      </c>
      <c r="O45" s="285"/>
      <c r="P45" s="325"/>
      <c r="Q45" s="74"/>
      <c r="R45" s="326">
        <f>IF(AND(T33&gt;=BH23,T33&gt;0),BH23*INDEX(table_coef_base_patronale,MATCH(A45,Taux_cotisations!$A$110:$A$137,0),MATCH($X$3,Taux_cotisations!$A$110:$M$110,0)),+T33*INDEX(table_coef_base_patronale,MATCH(A45,Taux_cotisations!$A$110:$A$137,0),MATCH($X$3,Taux_cotisations!$A$110:$M$110,0)))</f>
        <v>555.5</v>
      </c>
      <c r="S45" s="327"/>
      <c r="T45" s="328"/>
      <c r="U45" s="300">
        <f>INDEX(table_taux_patronales,MATCH(A45,Taux_cotisations!$A$39:$A$66,0),MATCH($X$3,Taux_cotisations!$A$39:$M$39,0))</f>
        <v>9.9000000000000005E-2</v>
      </c>
      <c r="V45" s="301"/>
      <c r="W45" s="302"/>
      <c r="X45" s="303">
        <f>ROUND(U45*R45,2)</f>
        <v>54.99</v>
      </c>
      <c r="Y45" s="304"/>
      <c r="Z45" s="304"/>
      <c r="AA45" s="102"/>
      <c r="AB45" s="428">
        <f>+$X$3+25</f>
        <v>46079</v>
      </c>
      <c r="AC45" s="428">
        <f>+$D$6+25</f>
        <v>25</v>
      </c>
      <c r="AD45" s="680">
        <v>10</v>
      </c>
      <c r="AE45" s="680"/>
      <c r="AF45" s="680"/>
      <c r="AG45" s="681"/>
      <c r="AH45" s="681"/>
      <c r="AI45" s="681"/>
      <c r="AJ45" s="680"/>
      <c r="AK45" s="680"/>
      <c r="AL45" s="682"/>
      <c r="AM45" s="97"/>
      <c r="AN45" s="98">
        <f t="shared" si="2"/>
        <v>10</v>
      </c>
      <c r="AO45" s="13"/>
      <c r="AP45" s="13"/>
    </row>
    <row r="46" spans="1:47" x14ac:dyDescent="0.25">
      <c r="A46" s="432"/>
      <c r="B46" s="433"/>
      <c r="C46" s="433"/>
      <c r="D46" s="433"/>
      <c r="E46" s="433"/>
      <c r="F46" s="433"/>
      <c r="G46" s="434"/>
      <c r="H46" s="318"/>
      <c r="I46" s="319"/>
      <c r="J46" s="320"/>
      <c r="K46" s="321"/>
      <c r="L46" s="322"/>
      <c r="M46" s="323"/>
      <c r="N46" s="324"/>
      <c r="O46" s="285"/>
      <c r="P46" s="325"/>
      <c r="Q46" s="74"/>
      <c r="R46" s="326"/>
      <c r="S46" s="327"/>
      <c r="T46" s="328"/>
      <c r="U46" s="300"/>
      <c r="V46" s="301"/>
      <c r="W46" s="302"/>
      <c r="X46" s="303"/>
      <c r="Y46" s="304"/>
      <c r="Z46" s="304"/>
      <c r="AA46" s="102"/>
      <c r="AB46" s="428">
        <f>+$X$3+26</f>
        <v>46080</v>
      </c>
      <c r="AC46" s="428">
        <f>+$D$6+26</f>
        <v>26</v>
      </c>
      <c r="AD46" s="680">
        <v>10</v>
      </c>
      <c r="AE46" s="680"/>
      <c r="AF46" s="680"/>
      <c r="AG46" s="681"/>
      <c r="AH46" s="681"/>
      <c r="AI46" s="681"/>
      <c r="AJ46" s="680"/>
      <c r="AK46" s="680"/>
      <c r="AL46" s="682"/>
      <c r="AM46" s="97"/>
      <c r="AN46" s="98">
        <f t="shared" si="2"/>
        <v>10</v>
      </c>
      <c r="AO46" s="13"/>
      <c r="AP46" s="13"/>
    </row>
    <row r="47" spans="1:47" x14ac:dyDescent="0.25">
      <c r="A47" s="202" t="str">
        <f>+Taux_cotisations!A24</f>
        <v>Famille :</v>
      </c>
      <c r="B47" s="203"/>
      <c r="C47" s="203"/>
      <c r="D47" s="203"/>
      <c r="E47" s="203"/>
      <c r="F47" s="203"/>
      <c r="G47" s="203"/>
      <c r="H47" s="318"/>
      <c r="I47" s="319"/>
      <c r="J47" s="320"/>
      <c r="K47" s="321"/>
      <c r="L47" s="322"/>
      <c r="M47" s="323"/>
      <c r="N47" s="324"/>
      <c r="O47" s="285"/>
      <c r="P47" s="325"/>
      <c r="Q47" s="74"/>
      <c r="R47" s="326"/>
      <c r="S47" s="327"/>
      <c r="T47" s="328"/>
      <c r="U47" s="300"/>
      <c r="V47" s="301"/>
      <c r="W47" s="302"/>
      <c r="X47" s="303"/>
      <c r="Y47" s="304"/>
      <c r="Z47" s="304"/>
      <c r="AA47" s="102"/>
      <c r="AB47" s="428">
        <f>+$X$3+27</f>
        <v>46081</v>
      </c>
      <c r="AC47" s="428">
        <f>+$D$6+26</f>
        <v>26</v>
      </c>
      <c r="AD47" s="680">
        <v>10</v>
      </c>
      <c r="AE47" s="680"/>
      <c r="AF47" s="680"/>
      <c r="AG47" s="681"/>
      <c r="AH47" s="681"/>
      <c r="AI47" s="681"/>
      <c r="AJ47" s="680"/>
      <c r="AK47" s="680"/>
      <c r="AL47" s="682"/>
      <c r="AM47" s="97"/>
      <c r="AN47" s="98">
        <f t="shared" si="2"/>
        <v>10</v>
      </c>
      <c r="AO47" s="13"/>
      <c r="AP47" s="13"/>
    </row>
    <row r="48" spans="1:47" x14ac:dyDescent="0.25">
      <c r="A48" s="204" t="str">
        <f>+Taux_cotisations!A25</f>
        <v>Famille</v>
      </c>
      <c r="B48" s="205"/>
      <c r="C48" s="205"/>
      <c r="D48" s="205"/>
      <c r="E48" s="205"/>
      <c r="F48" s="205"/>
      <c r="G48" s="205"/>
      <c r="H48" s="318"/>
      <c r="I48" s="319"/>
      <c r="J48" s="320"/>
      <c r="K48" s="321"/>
      <c r="L48" s="322"/>
      <c r="M48" s="323"/>
      <c r="N48" s="324"/>
      <c r="O48" s="285"/>
      <c r="P48" s="325"/>
      <c r="Q48" s="75"/>
      <c r="R48" s="326">
        <f>+T33*INDEX(table_coef_base_patronale,MATCH(A48,Taux_cotisations!$A$110:$A$137,0),MATCH($X$3,Taux_cotisations!$A$110:$M$110,0))</f>
        <v>555.5</v>
      </c>
      <c r="S48" s="327"/>
      <c r="T48" s="328"/>
      <c r="U48" s="300">
        <f>INDEX(table_taux_patronales,MATCH(A48,Taux_cotisations!$A$39:$A$66,0),MATCH($X$3,Taux_cotisations!$A$39:$M$39,0))</f>
        <v>5.3999999999999999E-2</v>
      </c>
      <c r="V48" s="301"/>
      <c r="W48" s="302"/>
      <c r="X48" s="303">
        <f>ROUND(U48*R48,2)</f>
        <v>30</v>
      </c>
      <c r="Y48" s="304"/>
      <c r="Z48" s="304"/>
      <c r="AA48" s="102"/>
      <c r="AB48" s="428" t="str">
        <f>IF(MONTH($X$3+28)&lt;&gt;MONTH($X$3),"",($X$3+28))</f>
        <v/>
      </c>
      <c r="AC48" s="428">
        <f>+$D$6+26</f>
        <v>26</v>
      </c>
      <c r="AD48" s="680">
        <v>10</v>
      </c>
      <c r="AE48" s="680"/>
      <c r="AF48" s="680"/>
      <c r="AG48" s="681"/>
      <c r="AH48" s="681"/>
      <c r="AI48" s="681"/>
      <c r="AJ48" s="680"/>
      <c r="AK48" s="680"/>
      <c r="AL48" s="682"/>
      <c r="AM48" s="97"/>
      <c r="AN48" s="98">
        <f t="shared" si="2"/>
        <v>10</v>
      </c>
      <c r="AO48" s="13"/>
      <c r="AP48" s="13"/>
    </row>
    <row r="49" spans="1:42" x14ac:dyDescent="0.25">
      <c r="A49" s="432"/>
      <c r="B49" s="433"/>
      <c r="C49" s="433"/>
      <c r="D49" s="433"/>
      <c r="E49" s="433"/>
      <c r="F49" s="433"/>
      <c r="G49" s="434"/>
      <c r="H49" s="318">
        <f>+IF(AND(T33&gt;0,T33&gt;BH23),(T33-BH23)*INDEX(table_coef_base_salariale,MATCH(A49,Taux_cotisations!$A$75:$A$102,0),MATCH($X$3,Taux_cotisations!$A$75:$M$75,0)),0)</f>
        <v>0</v>
      </c>
      <c r="I49" s="319"/>
      <c r="J49" s="320"/>
      <c r="K49" s="321">
        <f>IF(H49=0,0,INDEX(table_taux_salariale,MATCH(A49,Taux_cotisations!$A$6:$A$33,0),MATCH($X$3,Taux_cotisations!$A$6:$M$6,0)))</f>
        <v>0</v>
      </c>
      <c r="L49" s="322"/>
      <c r="M49" s="323"/>
      <c r="N49" s="324">
        <f t="shared" si="3"/>
        <v>0</v>
      </c>
      <c r="O49" s="285"/>
      <c r="P49" s="325"/>
      <c r="Q49" s="74"/>
      <c r="R49" s="326"/>
      <c r="S49" s="327"/>
      <c r="T49" s="328"/>
      <c r="U49" s="300"/>
      <c r="V49" s="301"/>
      <c r="W49" s="302"/>
      <c r="X49" s="303"/>
      <c r="Y49" s="304"/>
      <c r="Z49" s="304"/>
      <c r="AA49" s="102"/>
      <c r="AB49" s="428" t="str">
        <f>IF(MONTH($X$3+29)&lt;&gt;MONTH(X3),"",($X$3+29))</f>
        <v/>
      </c>
      <c r="AC49" s="428">
        <f>+$D$6+26</f>
        <v>26</v>
      </c>
      <c r="AD49" s="680">
        <v>7</v>
      </c>
      <c r="AE49" s="680"/>
      <c r="AF49" s="680"/>
      <c r="AG49" s="681"/>
      <c r="AH49" s="681"/>
      <c r="AI49" s="681"/>
      <c r="AJ49" s="680"/>
      <c r="AK49" s="680"/>
      <c r="AL49" s="682"/>
      <c r="AM49" s="97"/>
      <c r="AN49" s="98">
        <f t="shared" si="2"/>
        <v>7</v>
      </c>
      <c r="AO49" s="13"/>
      <c r="AP49" s="13"/>
    </row>
    <row r="50" spans="1:42" x14ac:dyDescent="0.25">
      <c r="A50" s="202" t="str">
        <f>+Taux_cotisations!A26</f>
        <v>Assurance Chômage :</v>
      </c>
      <c r="B50" s="203"/>
      <c r="C50" s="203"/>
      <c r="D50" s="203"/>
      <c r="E50" s="203"/>
      <c r="F50" s="203"/>
      <c r="G50" s="203"/>
      <c r="H50" s="318"/>
      <c r="I50" s="319"/>
      <c r="J50" s="320"/>
      <c r="K50" s="321"/>
      <c r="L50" s="322"/>
      <c r="M50" s="323"/>
      <c r="N50" s="324"/>
      <c r="O50" s="285"/>
      <c r="P50" s="325"/>
      <c r="Q50" s="74"/>
      <c r="R50" s="326">
        <f>+T33*INDEX(table_coef_base_patronale,MATCH(A50,Taux_cotisations!$A$110:$A$137,0),MATCH($X$3,Taux_cotisations!$A$110:$M$110,0))</f>
        <v>555.5</v>
      </c>
      <c r="S50" s="327"/>
      <c r="T50" s="328"/>
      <c r="U50" s="300">
        <f>INDEX(table_taux_patronales,MATCH(A50,Taux_cotisations!$A$39:$A$66,0),MATCH($X$3,Taux_cotisations!$A$39:$M$39,0))</f>
        <v>2.8000000000000001E-2</v>
      </c>
      <c r="V50" s="301"/>
      <c r="W50" s="302"/>
      <c r="X50" s="303">
        <f>ROUND(U50*R50,2)</f>
        <v>15.55</v>
      </c>
      <c r="Y50" s="304"/>
      <c r="Z50" s="304"/>
      <c r="AA50" s="102"/>
      <c r="AB50" s="428" t="str">
        <f>IF(MONTH($X$3+30)&lt;&gt;MONTH(X3),"",($X$3+30))</f>
        <v/>
      </c>
      <c r="AC50" s="428">
        <f>+$D$6+26</f>
        <v>26</v>
      </c>
      <c r="AD50" s="680"/>
      <c r="AE50" s="680"/>
      <c r="AF50" s="680"/>
      <c r="AG50" s="681"/>
      <c r="AH50" s="681"/>
      <c r="AI50" s="681"/>
      <c r="AJ50" s="680"/>
      <c r="AK50" s="680"/>
      <c r="AL50" s="682"/>
      <c r="AM50" s="97"/>
      <c r="AN50" s="98">
        <f t="shared" si="2"/>
        <v>0</v>
      </c>
      <c r="AO50" s="13"/>
      <c r="AP50" s="13"/>
    </row>
    <row r="51" spans="1:42" ht="15.75" thickBot="1" x14ac:dyDescent="0.3">
      <c r="H51" s="318"/>
      <c r="I51" s="319"/>
      <c r="J51" s="320"/>
      <c r="K51" s="321"/>
      <c r="L51" s="322"/>
      <c r="M51" s="323"/>
      <c r="N51" s="324"/>
      <c r="O51" s="285"/>
      <c r="P51" s="325"/>
      <c r="R51" s="326"/>
      <c r="S51" s="327"/>
      <c r="T51" s="328"/>
      <c r="U51" s="300"/>
      <c r="V51" s="301"/>
      <c r="W51" s="302"/>
      <c r="X51" s="303"/>
      <c r="Y51" s="304"/>
      <c r="Z51" s="304"/>
      <c r="AA51" s="102"/>
      <c r="AB51" s="424"/>
      <c r="AC51" s="424"/>
      <c r="AD51" s="425">
        <f>SUM(AD20:AF50)</f>
        <v>205</v>
      </c>
      <c r="AE51" s="425"/>
      <c r="AF51" s="425"/>
      <c r="AG51" s="426">
        <f>SUM(AG20:AI50)</f>
        <v>0</v>
      </c>
      <c r="AH51" s="426"/>
      <c r="AI51" s="426"/>
      <c r="AJ51" s="425">
        <f>SUM(AJ20:AL50)</f>
        <v>1</v>
      </c>
      <c r="AK51" s="425"/>
      <c r="AL51" s="427"/>
      <c r="AM51" s="97"/>
      <c r="AN51" s="13"/>
      <c r="AO51" s="13"/>
      <c r="AP51" s="13"/>
    </row>
    <row r="52" spans="1:42" ht="15.75" thickTop="1" x14ac:dyDescent="0.25">
      <c r="A52" s="202" t="s">
        <v>228</v>
      </c>
      <c r="B52" s="203"/>
      <c r="C52" s="203"/>
      <c r="D52" s="203"/>
      <c r="E52" s="203"/>
      <c r="F52" s="203"/>
      <c r="G52" s="203"/>
      <c r="H52" s="318"/>
      <c r="I52" s="319"/>
      <c r="J52" s="320"/>
      <c r="K52" s="321"/>
      <c r="L52" s="322"/>
      <c r="M52" s="323"/>
      <c r="N52" s="324"/>
      <c r="O52" s="285"/>
      <c r="P52" s="325"/>
      <c r="Q52" s="74"/>
      <c r="R52" s="326">
        <f>+T33*INDEX(table_coef_base_patronale,MATCH(A52,Taux_cotisations!$A$110:$A$137,0),MATCH($X$3,Taux_cotisations!$A$110:$M$110,0))</f>
        <v>555.5</v>
      </c>
      <c r="S52" s="327"/>
      <c r="T52" s="328"/>
      <c r="U52" s="300">
        <f>INDEX(table_taux_patronales,MATCH(A52,Taux_cotisations!$A$39:$A$66,0),MATCH($X$3,Taux_cotisations!$A$39:$M$39,0))</f>
        <v>2.7E-2</v>
      </c>
      <c r="V52" s="301"/>
      <c r="W52" s="302"/>
      <c r="X52" s="303">
        <f>MIN(ROUND(U52*R52,2),5)</f>
        <v>5</v>
      </c>
      <c r="Y52" s="304"/>
      <c r="Z52" s="304"/>
      <c r="AA52" s="102"/>
      <c r="AB52" s="96"/>
      <c r="AC52" s="96"/>
      <c r="AD52" s="97"/>
      <c r="AE52" s="97"/>
      <c r="AF52" s="97"/>
      <c r="AG52" s="97"/>
      <c r="AH52" s="97"/>
      <c r="AI52" s="97"/>
      <c r="AJ52" s="97"/>
      <c r="AK52" s="97"/>
      <c r="AL52" s="97"/>
      <c r="AM52" s="97"/>
      <c r="AN52" s="97"/>
      <c r="AO52" s="97"/>
    </row>
    <row r="53" spans="1:42" x14ac:dyDescent="0.25">
      <c r="H53" s="318"/>
      <c r="I53" s="319"/>
      <c r="J53" s="320"/>
      <c r="K53" s="321"/>
      <c r="L53" s="322"/>
      <c r="M53" s="323"/>
      <c r="N53" s="324"/>
      <c r="O53" s="285"/>
      <c r="P53" s="325"/>
      <c r="R53" s="326"/>
      <c r="S53" s="327"/>
      <c r="T53" s="328"/>
      <c r="U53" s="300"/>
      <c r="V53" s="301"/>
      <c r="W53" s="302"/>
      <c r="X53" s="303"/>
      <c r="Y53" s="304"/>
      <c r="Z53" s="304"/>
      <c r="AA53" s="102"/>
      <c r="AB53" s="96"/>
      <c r="AC53" s="96"/>
      <c r="AD53" s="97"/>
      <c r="AE53" s="97"/>
      <c r="AF53" s="97"/>
      <c r="AG53" s="97"/>
      <c r="AH53" s="97"/>
      <c r="AI53" s="97"/>
      <c r="AJ53" s="97"/>
      <c r="AK53" s="97"/>
      <c r="AL53" s="97"/>
      <c r="AM53" s="97"/>
      <c r="AN53" s="97"/>
      <c r="AO53" s="97"/>
      <c r="AP53" s="103"/>
    </row>
    <row r="54" spans="1:42" x14ac:dyDescent="0.25">
      <c r="A54" s="202" t="str">
        <f>+Taux_cotisations!A28</f>
        <v>Autres cotisations patronales</v>
      </c>
      <c r="B54" s="203"/>
      <c r="C54" s="203"/>
      <c r="D54" s="203"/>
      <c r="E54" s="203"/>
      <c r="F54" s="203"/>
      <c r="G54" s="203"/>
      <c r="H54" s="318"/>
      <c r="I54" s="319"/>
      <c r="J54" s="320"/>
      <c r="K54" s="321"/>
      <c r="L54" s="322"/>
      <c r="M54" s="323"/>
      <c r="N54" s="324"/>
      <c r="O54" s="285"/>
      <c r="P54" s="325"/>
      <c r="Q54" s="74"/>
      <c r="R54" s="326">
        <f>+T33*INDEX(table_coef_base_patronale,MATCH(A54,Taux_cotisations!$A$110:$A$137,0),MATCH($X$3,Taux_cotisations!$A$110:$M$110,0))</f>
        <v>555.5</v>
      </c>
      <c r="S54" s="327"/>
      <c r="T54" s="328"/>
      <c r="U54" s="300">
        <f>INDEX(table_taux_patronales,MATCH(A54,Taux_cotisations!$A$39:$A$66,0),MATCH($X$3,Taux_cotisations!$A$39:$M$39,0))</f>
        <v>8.6599999999999993E-3</v>
      </c>
      <c r="V54" s="301"/>
      <c r="W54" s="302"/>
      <c r="X54" s="303">
        <f>ROUND(U54*R54,2)</f>
        <v>4.8099999999999996</v>
      </c>
      <c r="Y54" s="304"/>
      <c r="Z54" s="304"/>
      <c r="AA54" s="102"/>
      <c r="AB54" s="96"/>
      <c r="AC54" s="96"/>
      <c r="AD54" s="97"/>
      <c r="AE54" s="97"/>
      <c r="AF54" s="97"/>
      <c r="AG54" s="97"/>
      <c r="AH54" s="97"/>
      <c r="AI54" s="97"/>
      <c r="AJ54" s="97"/>
      <c r="AK54" s="97"/>
      <c r="AL54" s="97"/>
      <c r="AM54" s="97"/>
      <c r="AN54" s="97"/>
      <c r="AO54" s="97"/>
      <c r="AP54" s="103"/>
    </row>
    <row r="55" spans="1:42" x14ac:dyDescent="0.25">
      <c r="H55" s="318"/>
      <c r="I55" s="319"/>
      <c r="J55" s="320"/>
      <c r="K55" s="321"/>
      <c r="L55" s="322"/>
      <c r="M55" s="323"/>
      <c r="N55" s="324"/>
      <c r="O55" s="285"/>
      <c r="P55" s="325"/>
      <c r="R55" s="326"/>
      <c r="S55" s="327"/>
      <c r="T55" s="328"/>
      <c r="U55" s="300"/>
      <c r="V55" s="301"/>
      <c r="W55" s="302"/>
      <c r="X55" s="303"/>
      <c r="Y55" s="304"/>
      <c r="Z55" s="304"/>
      <c r="AA55" s="102"/>
      <c r="AB55" s="96"/>
      <c r="AC55" s="96"/>
      <c r="AD55" s="97"/>
      <c r="AE55" s="97"/>
      <c r="AF55" s="97"/>
      <c r="AG55" s="97"/>
      <c r="AH55" s="97"/>
      <c r="AI55" s="97"/>
      <c r="AJ55" s="97"/>
      <c r="AK55" s="97"/>
      <c r="AL55" s="97"/>
      <c r="AM55" s="97"/>
      <c r="AN55" s="97"/>
      <c r="AO55" s="97"/>
      <c r="AP55" s="103"/>
    </row>
    <row r="56" spans="1:42" x14ac:dyDescent="0.25">
      <c r="A56" s="202" t="str">
        <f>+Taux_cotisations!A29</f>
        <v>Autres cotisations patronales T1</v>
      </c>
      <c r="B56" s="203"/>
      <c r="C56" s="203"/>
      <c r="D56" s="203"/>
      <c r="E56" s="203"/>
      <c r="F56" s="203"/>
      <c r="G56" s="203"/>
      <c r="H56" s="318"/>
      <c r="I56" s="319"/>
      <c r="J56" s="320"/>
      <c r="K56" s="321"/>
      <c r="L56" s="322"/>
      <c r="M56" s="323"/>
      <c r="N56" s="324"/>
      <c r="O56" s="285"/>
      <c r="P56" s="325"/>
      <c r="Q56" s="74"/>
      <c r="R56" s="326">
        <f>IF(AND(T33&gt;=BH23,T33&gt;0),BH23*INDEX(table_coef_base_patronale,MATCH(A56,Taux_cotisations!$A$110:$A$137,0),MATCH($X$3,Taux_cotisations!$A$110:$M$110,0)),+T33*INDEX(table_coef_base_patronale,MATCH(A56,Taux_cotisations!$A$110:$A$137,0),MATCH($X$3,Taux_cotisations!$A$110:$M$110,0)))</f>
        <v>555.5</v>
      </c>
      <c r="S56" s="327"/>
      <c r="T56" s="328"/>
      <c r="U56" s="300">
        <f>INDEX(table_taux_patronales,MATCH(A56,Taux_cotisations!$A$39:$A$66,0),MATCH($X$3,Taux_cotisations!$A$39:$M$39,0))</f>
        <v>1E-3</v>
      </c>
      <c r="V56" s="301"/>
      <c r="W56" s="302"/>
      <c r="X56" s="303">
        <f>ROUND(U56*R56,2)</f>
        <v>0.56000000000000005</v>
      </c>
      <c r="Y56" s="304"/>
      <c r="Z56" s="304"/>
      <c r="AA56" s="102"/>
      <c r="AB56" s="96"/>
      <c r="AC56" s="96"/>
      <c r="AD56" s="97"/>
      <c r="AE56" s="97"/>
      <c r="AF56" s="97"/>
      <c r="AG56" s="97"/>
      <c r="AH56" s="97"/>
      <c r="AI56" s="97"/>
      <c r="AJ56" s="97"/>
      <c r="AK56" s="97"/>
      <c r="AL56" s="97"/>
      <c r="AM56" s="97"/>
      <c r="AN56" s="97"/>
      <c r="AO56" s="97"/>
      <c r="AP56" s="103"/>
    </row>
    <row r="57" spans="1:42" x14ac:dyDescent="0.25">
      <c r="A57" s="261"/>
      <c r="B57" s="262"/>
      <c r="C57" s="262"/>
      <c r="D57" s="262"/>
      <c r="E57" s="262"/>
      <c r="F57" s="262"/>
      <c r="G57" s="262"/>
      <c r="H57" s="263"/>
      <c r="I57" s="264"/>
      <c r="J57" s="265"/>
      <c r="K57" s="266"/>
      <c r="L57" s="267"/>
      <c r="M57" s="268"/>
      <c r="N57" s="263"/>
      <c r="O57" s="264"/>
      <c r="P57" s="265"/>
      <c r="Q57" s="74"/>
      <c r="R57" s="269"/>
      <c r="S57" s="270"/>
      <c r="T57" s="271"/>
      <c r="U57" s="272"/>
      <c r="V57" s="273"/>
      <c r="W57" s="274"/>
      <c r="X57" s="303"/>
      <c r="Y57" s="304"/>
      <c r="Z57" s="304"/>
      <c r="AA57" s="102"/>
      <c r="AB57" s="96"/>
      <c r="AC57" s="96"/>
      <c r="AD57" s="97"/>
      <c r="AE57" s="97"/>
      <c r="AF57" s="97"/>
      <c r="AG57" s="97"/>
      <c r="AH57" s="97"/>
      <c r="AI57" s="97"/>
      <c r="AJ57" s="97"/>
      <c r="AK57" s="97"/>
      <c r="AL57" s="97"/>
      <c r="AM57" s="97"/>
      <c r="AN57" s="97"/>
      <c r="AO57" s="97"/>
      <c r="AP57" s="103"/>
    </row>
    <row r="58" spans="1:42" x14ac:dyDescent="0.25">
      <c r="A58" s="76"/>
      <c r="B58" s="76"/>
      <c r="C58" s="76"/>
      <c r="D58" s="76"/>
      <c r="E58" s="76"/>
      <c r="F58" s="76"/>
      <c r="G58" s="76"/>
      <c r="H58" s="411" t="s">
        <v>55</v>
      </c>
      <c r="I58" s="412"/>
      <c r="J58" s="412"/>
      <c r="K58" s="412"/>
      <c r="L58" s="412"/>
      <c r="M58" s="412"/>
      <c r="N58" s="413">
        <f>SUM(N37:P57)</f>
        <v>65.548999999999992</v>
      </c>
      <c r="O58" s="413"/>
      <c r="P58" s="414"/>
      <c r="Q58" s="77"/>
      <c r="R58" s="415" t="s">
        <v>56</v>
      </c>
      <c r="S58" s="416"/>
      <c r="T58" s="416"/>
      <c r="U58" s="416"/>
      <c r="V58" s="416"/>
      <c r="W58" s="417"/>
      <c r="X58" s="418">
        <f>SUM(X37:Z53)</f>
        <v>156.43</v>
      </c>
      <c r="Y58" s="419"/>
      <c r="Z58" s="420"/>
      <c r="AA58" s="102"/>
      <c r="AB58" s="96"/>
      <c r="AC58" s="96"/>
      <c r="AD58" s="97"/>
      <c r="AE58" s="97"/>
      <c r="AF58" s="97"/>
      <c r="AG58" s="97"/>
      <c r="AH58" s="97"/>
      <c r="AI58" s="97"/>
      <c r="AJ58" s="97"/>
      <c r="AK58" s="97"/>
      <c r="AL58" s="97"/>
      <c r="AM58" s="97"/>
      <c r="AN58" s="97"/>
      <c r="AO58" s="97"/>
      <c r="AP58" s="103"/>
    </row>
    <row r="59" spans="1:42" x14ac:dyDescent="0.25">
      <c r="A59" s="76"/>
      <c r="B59" s="76"/>
      <c r="C59" s="76"/>
      <c r="D59" s="76"/>
      <c r="E59" s="76"/>
      <c r="F59" s="76"/>
      <c r="G59" s="76"/>
      <c r="H59" s="421" t="s">
        <v>57</v>
      </c>
      <c r="I59" s="421"/>
      <c r="J59" s="421"/>
      <c r="K59" s="421"/>
      <c r="L59" s="421"/>
      <c r="M59" s="421"/>
      <c r="N59" s="422">
        <f>T33-N58</f>
        <v>489.95100000000002</v>
      </c>
      <c r="O59" s="422"/>
      <c r="P59" s="422"/>
      <c r="Q59" s="77"/>
      <c r="R59" s="77"/>
      <c r="S59" s="77"/>
      <c r="T59" s="77"/>
      <c r="U59" s="77"/>
      <c r="V59" s="77"/>
      <c r="W59" s="77"/>
      <c r="X59" s="77"/>
      <c r="Y59" s="77"/>
      <c r="Z59" s="77"/>
      <c r="AA59" s="102"/>
      <c r="AB59" s="96"/>
      <c r="AC59" s="96"/>
      <c r="AD59" s="97"/>
      <c r="AE59" s="97"/>
      <c r="AF59" s="97"/>
      <c r="AG59" s="97"/>
      <c r="AH59" s="97"/>
      <c r="AI59" s="97"/>
      <c r="AJ59" s="97"/>
      <c r="AK59" s="97"/>
      <c r="AL59" s="97"/>
      <c r="AM59" s="103"/>
      <c r="AP59" s="103"/>
    </row>
    <row r="60" spans="1:42" x14ac:dyDescent="0.25">
      <c r="R60" s="279" t="s">
        <v>58</v>
      </c>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1"/>
      <c r="AP60" s="103"/>
    </row>
    <row r="61" spans="1:42" x14ac:dyDescent="0.25">
      <c r="A61" s="282" t="s">
        <v>59</v>
      </c>
      <c r="B61" s="282"/>
      <c r="C61" s="282"/>
      <c r="D61" s="282"/>
      <c r="E61" s="282"/>
      <c r="F61" s="282"/>
      <c r="G61" s="282"/>
      <c r="H61" s="282" t="s">
        <v>22</v>
      </c>
      <c r="I61" s="282"/>
      <c r="J61" s="282"/>
      <c r="K61" s="282" t="s">
        <v>23</v>
      </c>
      <c r="L61" s="282"/>
      <c r="M61" s="282"/>
      <c r="N61" s="282" t="s">
        <v>24</v>
      </c>
      <c r="O61" s="282"/>
      <c r="P61" s="282"/>
      <c r="Q61" s="73"/>
      <c r="R61" s="307" t="s">
        <v>60</v>
      </c>
      <c r="S61" s="288"/>
      <c r="T61" s="288"/>
      <c r="U61" s="288"/>
      <c r="V61" s="288"/>
      <c r="W61" s="288"/>
      <c r="X61" s="288" t="s">
        <v>61</v>
      </c>
      <c r="Y61" s="288"/>
      <c r="Z61" s="288"/>
      <c r="AA61" s="104"/>
      <c r="AB61" s="105"/>
      <c r="AC61" s="288" t="s">
        <v>62</v>
      </c>
      <c r="AD61" s="288"/>
      <c r="AE61" s="288"/>
      <c r="AF61" s="288"/>
      <c r="AG61" s="288"/>
      <c r="AH61" s="288"/>
      <c r="AI61" s="288"/>
      <c r="AJ61" s="288"/>
      <c r="AK61" s="288"/>
      <c r="AL61" s="288"/>
      <c r="AM61" s="288"/>
      <c r="AN61" s="288"/>
      <c r="AO61" s="289"/>
      <c r="AP61" s="103"/>
    </row>
    <row r="62" spans="1:42" x14ac:dyDescent="0.25">
      <c r="A62" s="542" t="s">
        <v>126</v>
      </c>
      <c r="B62" s="82" t="s">
        <v>63</v>
      </c>
      <c r="C62" s="83"/>
      <c r="D62" s="83"/>
      <c r="E62" s="83"/>
      <c r="F62" s="83"/>
      <c r="G62" s="106"/>
      <c r="H62" s="670">
        <v>22</v>
      </c>
      <c r="I62" s="671"/>
      <c r="J62" s="672"/>
      <c r="K62" s="673">
        <v>4.2</v>
      </c>
      <c r="L62" s="674"/>
      <c r="M62" s="675"/>
      <c r="N62" s="314">
        <f>K62*H62</f>
        <v>92.4</v>
      </c>
      <c r="O62" s="314"/>
      <c r="P62" s="314"/>
      <c r="Q62" s="102"/>
      <c r="R62" s="286" t="s">
        <v>64</v>
      </c>
      <c r="S62" s="287"/>
      <c r="T62" s="287"/>
      <c r="U62" s="287"/>
      <c r="V62" s="287"/>
      <c r="W62" s="287"/>
      <c r="X62" s="287"/>
      <c r="Y62" s="287"/>
      <c r="Z62" s="287"/>
      <c r="AA62" s="104"/>
      <c r="AB62" s="105"/>
      <c r="AC62" s="287" t="s">
        <v>65</v>
      </c>
      <c r="AD62" s="287"/>
      <c r="AE62" s="287"/>
      <c r="AF62" s="287"/>
      <c r="AG62" s="287"/>
      <c r="AH62" s="287"/>
      <c r="AI62" s="287"/>
      <c r="AJ62" s="287"/>
      <c r="AK62" s="287"/>
      <c r="AL62" s="287"/>
      <c r="AM62" s="287"/>
      <c r="AN62" s="287"/>
      <c r="AO62" s="423"/>
      <c r="AP62" s="103"/>
    </row>
    <row r="63" spans="1:42" x14ac:dyDescent="0.25">
      <c r="A63" s="543"/>
      <c r="B63" s="107" t="s">
        <v>103</v>
      </c>
      <c r="G63" s="108"/>
      <c r="H63" s="676"/>
      <c r="I63" s="745"/>
      <c r="J63" s="746"/>
      <c r="K63" s="677"/>
      <c r="L63" s="678"/>
      <c r="M63" s="747"/>
      <c r="N63" s="285">
        <f>K63*H63</f>
        <v>0</v>
      </c>
      <c r="O63" s="285"/>
      <c r="P63" s="285"/>
      <c r="Q63" s="102"/>
      <c r="R63" s="286" t="s">
        <v>66</v>
      </c>
      <c r="S63" s="287"/>
      <c r="T63" s="287"/>
      <c r="U63" s="287"/>
      <c r="V63" s="287"/>
      <c r="W63" s="287"/>
      <c r="X63" s="287"/>
      <c r="Y63" s="287"/>
      <c r="Z63" s="287"/>
      <c r="AA63" s="104"/>
      <c r="AB63" s="105"/>
      <c r="AC63" s="288" t="s">
        <v>67</v>
      </c>
      <c r="AD63" s="288"/>
      <c r="AE63" s="288"/>
      <c r="AF63" s="288"/>
      <c r="AG63" s="288"/>
      <c r="AH63" s="288"/>
      <c r="AI63" s="288"/>
      <c r="AJ63" s="288"/>
      <c r="AK63" s="288"/>
      <c r="AL63" s="288"/>
      <c r="AM63" s="288"/>
      <c r="AN63" s="288"/>
      <c r="AO63" s="289"/>
    </row>
    <row r="64" spans="1:42" x14ac:dyDescent="0.25">
      <c r="A64" s="543"/>
      <c r="B64" s="107" t="s">
        <v>68</v>
      </c>
      <c r="G64" s="108"/>
      <c r="H64" s="679">
        <v>22</v>
      </c>
      <c r="I64" s="748"/>
      <c r="J64" s="749"/>
      <c r="K64" s="677">
        <v>4</v>
      </c>
      <c r="L64" s="678"/>
      <c r="M64" s="747"/>
      <c r="N64" s="285">
        <f>K64*H64</f>
        <v>88</v>
      </c>
      <c r="O64" s="285"/>
      <c r="P64" s="285"/>
      <c r="Q64" s="109"/>
      <c r="R64" s="409" t="s">
        <v>69</v>
      </c>
      <c r="S64" s="410"/>
      <c r="T64" s="410"/>
      <c r="U64" s="410"/>
      <c r="V64" s="410"/>
      <c r="W64" s="410"/>
      <c r="X64" s="410"/>
      <c r="Y64" s="410"/>
      <c r="Z64" s="410"/>
      <c r="AA64" s="110"/>
      <c r="AB64" s="111"/>
      <c r="AC64" s="329" t="s">
        <v>70</v>
      </c>
      <c r="AD64" s="329"/>
      <c r="AE64" s="329"/>
      <c r="AF64" s="329"/>
      <c r="AG64" s="329"/>
      <c r="AH64" s="329"/>
      <c r="AI64" s="329"/>
      <c r="AJ64" s="329"/>
      <c r="AK64" s="329"/>
      <c r="AL64" s="329"/>
      <c r="AM64" s="329"/>
      <c r="AN64" s="329"/>
      <c r="AO64" s="330"/>
      <c r="AP64" s="112"/>
    </row>
    <row r="65" spans="1:42" x14ac:dyDescent="0.25">
      <c r="A65" s="543"/>
      <c r="B65" s="107" t="s">
        <v>71</v>
      </c>
      <c r="G65" s="108"/>
      <c r="H65" s="679">
        <v>22</v>
      </c>
      <c r="I65" s="748"/>
      <c r="J65" s="749"/>
      <c r="K65" s="677">
        <v>1</v>
      </c>
      <c r="L65" s="678"/>
      <c r="M65" s="747"/>
      <c r="N65" s="285">
        <f>K65*H65</f>
        <v>22</v>
      </c>
      <c r="O65" s="285"/>
      <c r="P65" s="285"/>
      <c r="R65" s="113"/>
      <c r="S65" s="114"/>
      <c r="T65" s="114"/>
      <c r="U65" s="114"/>
      <c r="V65" s="114"/>
      <c r="W65" s="114"/>
      <c r="X65" s="115"/>
      <c r="Y65" s="115"/>
      <c r="Z65" s="115"/>
      <c r="AA65" s="115"/>
      <c r="AB65" s="115"/>
      <c r="AC65" s="115"/>
      <c r="AD65" s="115"/>
      <c r="AE65" s="115"/>
      <c r="AF65" s="115"/>
      <c r="AG65" s="115"/>
      <c r="AH65" s="115"/>
      <c r="AI65" s="115"/>
      <c r="AJ65" s="115"/>
      <c r="AK65" s="115"/>
      <c r="AL65" s="115"/>
      <c r="AM65" s="115"/>
      <c r="AN65" s="115"/>
      <c r="AO65" s="115"/>
      <c r="AP65" s="112"/>
    </row>
    <row r="66" spans="1:42" x14ac:dyDescent="0.25">
      <c r="A66" s="543"/>
      <c r="B66" s="107" t="s">
        <v>72</v>
      </c>
      <c r="G66" s="108"/>
      <c r="H66" s="750"/>
      <c r="I66" s="751"/>
      <c r="J66" s="752"/>
      <c r="K66" s="753"/>
      <c r="L66" s="754"/>
      <c r="M66" s="755"/>
      <c r="N66" s="285">
        <f>K66*H66</f>
        <v>0</v>
      </c>
      <c r="O66" s="285"/>
      <c r="P66" s="285"/>
      <c r="Q66" s="88"/>
      <c r="R66" s="116" t="s">
        <v>73</v>
      </c>
      <c r="S66" s="117"/>
      <c r="T66" s="117"/>
      <c r="U66" s="117"/>
      <c r="V66" s="117"/>
      <c r="W66" s="117"/>
      <c r="X66" s="117"/>
      <c r="Y66" s="117"/>
      <c r="Z66" s="117"/>
      <c r="AA66" s="118"/>
      <c r="AB66" s="119"/>
      <c r="AC66" s="76"/>
      <c r="AD66" s="296" t="s">
        <v>74</v>
      </c>
      <c r="AE66" s="297"/>
      <c r="AF66" s="297"/>
      <c r="AG66" s="297"/>
      <c r="AH66" s="297"/>
      <c r="AI66" s="297"/>
      <c r="AJ66" s="297"/>
      <c r="AK66" s="298"/>
      <c r="AL66" s="284">
        <f>COUNTIF(AN20:AN50,"&gt;0")</f>
        <v>22</v>
      </c>
      <c r="AM66" s="284"/>
      <c r="AN66" s="284"/>
      <c r="AO66" s="284"/>
      <c r="AP66" s="120"/>
    </row>
    <row r="67" spans="1:42" x14ac:dyDescent="0.25">
      <c r="A67" s="544"/>
      <c r="B67" s="15" t="s">
        <v>125</v>
      </c>
      <c r="C67" s="667"/>
      <c r="D67" s="667"/>
      <c r="E67" s="667"/>
      <c r="F67" s="667"/>
      <c r="G67" s="668"/>
      <c r="H67" s="285"/>
      <c r="I67" s="285"/>
      <c r="J67" s="285"/>
      <c r="K67" s="299"/>
      <c r="L67" s="299"/>
      <c r="M67" s="299"/>
      <c r="N67" s="669"/>
      <c r="O67" s="669"/>
      <c r="P67" s="669"/>
      <c r="R67" s="121" t="s">
        <v>75</v>
      </c>
      <c r="S67" s="105"/>
      <c r="T67" s="105"/>
      <c r="U67" s="104"/>
      <c r="V67" s="104"/>
      <c r="W67" s="104"/>
      <c r="X67" s="104"/>
      <c r="Y67" s="104"/>
      <c r="Z67" s="305">
        <f>+(T33*3.15%)-((H55+H56)*1.7%)</f>
        <v>17.498249999999999</v>
      </c>
      <c r="AA67" s="305"/>
      <c r="AB67" s="306"/>
      <c r="AC67" s="76"/>
      <c r="AD67" s="296" t="s">
        <v>76</v>
      </c>
      <c r="AE67" s="297"/>
      <c r="AF67" s="297"/>
      <c r="AG67" s="297"/>
      <c r="AH67" s="297"/>
      <c r="AI67" s="297"/>
      <c r="AJ67" s="297"/>
      <c r="AK67" s="298"/>
      <c r="AL67" s="284">
        <f>COUNTIF(AN20:AN50,"=8")+COUNTIF(AN20:AN50,"&gt;8")</f>
        <v>17</v>
      </c>
      <c r="AM67" s="284"/>
      <c r="AN67" s="284"/>
      <c r="AO67" s="284"/>
    </row>
    <row r="68" spans="1:42" x14ac:dyDescent="0.25">
      <c r="A68" s="14" t="s">
        <v>127</v>
      </c>
      <c r="B68" s="545" t="s">
        <v>128</v>
      </c>
      <c r="C68" s="545"/>
      <c r="D68" s="545"/>
      <c r="E68" s="545"/>
      <c r="F68" s="545"/>
      <c r="G68" s="546"/>
      <c r="H68" s="666"/>
      <c r="I68" s="666"/>
      <c r="J68" s="666"/>
      <c r="K68" s="387"/>
      <c r="L68" s="387"/>
      <c r="M68" s="387"/>
      <c r="N68" s="388">
        <f>H68</f>
        <v>0</v>
      </c>
      <c r="O68" s="388"/>
      <c r="P68" s="388"/>
      <c r="R68" s="122" t="s">
        <v>77</v>
      </c>
      <c r="S68" s="123"/>
      <c r="T68" s="123"/>
      <c r="U68" s="123"/>
      <c r="V68" s="123"/>
      <c r="W68" s="123"/>
      <c r="X68" s="123"/>
      <c r="Y68" s="123"/>
      <c r="Z68" s="389">
        <f>+N57*-1</f>
        <v>0</v>
      </c>
      <c r="AA68" s="389"/>
      <c r="AB68" s="390"/>
      <c r="AC68" s="76"/>
      <c r="AD68" s="296" t="s">
        <v>78</v>
      </c>
      <c r="AE68" s="297"/>
      <c r="AF68" s="297"/>
      <c r="AG68" s="297"/>
      <c r="AH68" s="297"/>
      <c r="AI68" s="297"/>
      <c r="AJ68" s="297"/>
      <c r="AK68" s="298"/>
      <c r="AL68" s="391">
        <f>SUMIF(AN20:AN50,"&lt;8")</f>
        <v>35</v>
      </c>
      <c r="AM68" s="391"/>
      <c r="AN68" s="391"/>
      <c r="AO68" s="391"/>
    </row>
    <row r="69" spans="1:42" x14ac:dyDescent="0.25">
      <c r="N69" s="275">
        <f>SUM(N62:P68)</f>
        <v>202.4</v>
      </c>
      <c r="O69" s="276"/>
      <c r="P69" s="277"/>
      <c r="R69" s="104"/>
      <c r="S69" s="104"/>
      <c r="T69" s="104"/>
      <c r="U69" s="104"/>
      <c r="V69" s="104"/>
      <c r="W69" s="104"/>
      <c r="X69" s="104"/>
      <c r="Y69" s="104"/>
      <c r="Z69" s="104"/>
      <c r="AA69" s="76"/>
      <c r="AB69" s="76"/>
      <c r="AC69" s="76"/>
      <c r="AD69" s="76"/>
      <c r="AE69" s="76"/>
      <c r="AF69" s="76"/>
      <c r="AG69" s="76"/>
      <c r="AH69" s="76"/>
      <c r="AI69" s="76"/>
      <c r="AJ69" s="76"/>
      <c r="AK69" s="76"/>
      <c r="AL69" s="76"/>
      <c r="AM69" s="76"/>
      <c r="AN69" s="76"/>
      <c r="AO69" s="76"/>
      <c r="AP69" s="120"/>
    </row>
    <row r="70" spans="1:42" ht="9" customHeight="1" x14ac:dyDescent="0.25">
      <c r="N70" s="109"/>
      <c r="O70" s="109"/>
      <c r="P70" s="109"/>
      <c r="R70" s="104"/>
      <c r="S70" s="104"/>
      <c r="T70" s="104"/>
      <c r="U70" s="104"/>
      <c r="V70" s="104"/>
      <c r="W70" s="104"/>
      <c r="X70" s="104"/>
      <c r="Y70" s="104"/>
      <c r="Z70" s="104"/>
      <c r="AA70" s="76"/>
      <c r="AB70" s="76"/>
      <c r="AC70" s="76"/>
      <c r="AD70" s="76"/>
      <c r="AE70" s="76"/>
      <c r="AF70" s="76"/>
      <c r="AG70" s="76"/>
      <c r="AH70" s="76"/>
      <c r="AI70" s="76"/>
      <c r="AJ70" s="76"/>
      <c r="AK70" s="76"/>
      <c r="AL70" s="76"/>
      <c r="AM70" s="76"/>
      <c r="AN70" s="76"/>
      <c r="AO70" s="76"/>
      <c r="AP70" s="120"/>
    </row>
    <row r="71" spans="1:42" x14ac:dyDescent="0.25">
      <c r="E71" s="549" t="s">
        <v>132</v>
      </c>
      <c r="F71" s="549"/>
      <c r="G71" s="549"/>
      <c r="H71" s="549" t="s">
        <v>133</v>
      </c>
      <c r="I71" s="549"/>
      <c r="J71" s="549"/>
      <c r="K71" s="549"/>
      <c r="L71" s="291" t="s">
        <v>211</v>
      </c>
      <c r="M71" s="291"/>
      <c r="N71" s="291"/>
      <c r="O71" s="291"/>
      <c r="P71" s="291"/>
      <c r="Q71" s="292">
        <f>+N59+N68</f>
        <v>489.95100000000002</v>
      </c>
      <c r="R71" s="293"/>
      <c r="S71" s="293"/>
      <c r="T71" s="294"/>
      <c r="U71" s="104"/>
      <c r="V71" s="104"/>
      <c r="W71" s="104"/>
      <c r="X71" s="104"/>
      <c r="Y71" s="104"/>
      <c r="Z71" s="295"/>
      <c r="AA71" s="295"/>
      <c r="AB71" s="295"/>
      <c r="AC71" s="295"/>
      <c r="AD71" s="295"/>
      <c r="AE71" s="295"/>
      <c r="AF71" s="295"/>
      <c r="AG71" s="295"/>
      <c r="AH71" s="295"/>
      <c r="AI71" s="295"/>
      <c r="AJ71" s="295"/>
      <c r="AK71" s="295"/>
      <c r="AL71" s="283"/>
      <c r="AM71" s="283"/>
      <c r="AN71" s="283"/>
      <c r="AO71" s="283"/>
    </row>
    <row r="72" spans="1:42" x14ac:dyDescent="0.25">
      <c r="A72" s="602" t="s">
        <v>79</v>
      </c>
      <c r="B72" s="603"/>
      <c r="C72" s="603"/>
      <c r="D72" s="604"/>
      <c r="E72" s="605">
        <f>+ROUND((T19+T24+T26+T27+T28+T29+T30+T31)-(N58-(N55+N56)),2)</f>
        <v>434.45</v>
      </c>
      <c r="F72" s="606"/>
      <c r="G72" s="607"/>
      <c r="H72" s="663"/>
      <c r="I72" s="664"/>
      <c r="J72" s="664"/>
      <c r="K72" s="665"/>
      <c r="U72" s="104"/>
      <c r="V72" s="104"/>
      <c r="W72" s="104"/>
      <c r="X72" s="104"/>
      <c r="Y72" s="104"/>
      <c r="Z72" s="295"/>
      <c r="AA72" s="295"/>
      <c r="AB72" s="295"/>
      <c r="AC72" s="295"/>
      <c r="AD72" s="295"/>
      <c r="AE72" s="295"/>
      <c r="AF72" s="295"/>
      <c r="AG72" s="295"/>
      <c r="AH72" s="295"/>
      <c r="AI72" s="295"/>
      <c r="AJ72" s="295"/>
      <c r="AK72" s="295"/>
      <c r="AL72" s="283"/>
      <c r="AM72" s="283"/>
      <c r="AN72" s="283"/>
      <c r="AO72" s="283"/>
      <c r="AP72" s="100"/>
    </row>
    <row r="73" spans="1:42" x14ac:dyDescent="0.25">
      <c r="A73" s="611" t="s">
        <v>84</v>
      </c>
      <c r="B73" s="225"/>
      <c r="C73" s="225"/>
      <c r="D73" s="612"/>
      <c r="E73" s="613">
        <f>SUM(N62:P67)</f>
        <v>202.4</v>
      </c>
      <c r="F73" s="614"/>
      <c r="G73" s="615"/>
      <c r="H73" s="656"/>
      <c r="I73" s="657"/>
      <c r="J73" s="657"/>
      <c r="K73" s="658"/>
      <c r="L73" s="255" t="s">
        <v>80</v>
      </c>
      <c r="M73" s="256"/>
      <c r="N73" s="256"/>
      <c r="O73" s="256"/>
      <c r="P73" s="257"/>
      <c r="Q73" s="228">
        <f>T33-N58+N69</f>
        <v>692.351</v>
      </c>
      <c r="R73" s="229"/>
      <c r="S73" s="229"/>
      <c r="T73" s="230"/>
      <c r="U73" s="104"/>
      <c r="V73" s="104"/>
      <c r="W73" s="104"/>
      <c r="X73" s="104"/>
      <c r="Y73" s="104"/>
      <c r="Z73" s="76"/>
      <c r="AA73" s="76"/>
      <c r="AB73" s="76"/>
      <c r="AC73" s="76"/>
      <c r="AD73" s="76"/>
      <c r="AE73" s="76"/>
      <c r="AF73" s="76"/>
      <c r="AG73" s="76"/>
      <c r="AH73" s="76"/>
      <c r="AI73" s="76"/>
      <c r="AJ73" s="76"/>
      <c r="AK73" s="76"/>
      <c r="AM73" s="76"/>
      <c r="AN73" s="76"/>
      <c r="AO73" s="76"/>
      <c r="AP73" s="100"/>
    </row>
    <row r="74" spans="1:42" x14ac:dyDescent="0.25">
      <c r="A74" s="611" t="s">
        <v>131</v>
      </c>
      <c r="B74" s="225"/>
      <c r="C74" s="225"/>
      <c r="D74" s="612"/>
      <c r="E74" s="613">
        <f>+Q75</f>
        <v>0</v>
      </c>
      <c r="F74" s="614"/>
      <c r="G74" s="615"/>
      <c r="H74" s="656"/>
      <c r="I74" s="657"/>
      <c r="J74" s="657"/>
      <c r="K74" s="658"/>
      <c r="U74" s="104"/>
      <c r="V74" s="104"/>
      <c r="W74" s="104"/>
      <c r="X74" s="104"/>
      <c r="Y74" s="104"/>
      <c r="Z74" s="296" t="s">
        <v>83</v>
      </c>
      <c r="AA74" s="297"/>
      <c r="AB74" s="297"/>
      <c r="AC74" s="297"/>
      <c r="AD74" s="297"/>
      <c r="AE74" s="297"/>
      <c r="AF74" s="297"/>
      <c r="AG74" s="297"/>
      <c r="AH74" s="297"/>
      <c r="AI74" s="297"/>
      <c r="AJ74" s="297"/>
      <c r="AK74" s="298"/>
      <c r="AL74" s="365">
        <f>ROUND(N59+N57+(T33*0.9825*2.9/100)-(H57*AR11)+N62+N63+N64+N65+N66,2)</f>
        <v>708.18</v>
      </c>
      <c r="AM74" s="365"/>
      <c r="AN74" s="365"/>
      <c r="AO74" s="365"/>
    </row>
    <row r="75" spans="1:42" x14ac:dyDescent="0.25">
      <c r="A75" s="589" t="s">
        <v>81</v>
      </c>
      <c r="B75" s="590"/>
      <c r="C75" s="590"/>
      <c r="D75" s="591"/>
      <c r="E75" s="592">
        <f>ROUND(+T20+T21+T22+T23+T25,2)</f>
        <v>55.5</v>
      </c>
      <c r="F75" s="593"/>
      <c r="G75" s="594"/>
      <c r="H75" s="659"/>
      <c r="I75" s="660"/>
      <c r="J75" s="660"/>
      <c r="K75" s="661"/>
      <c r="L75" s="258" t="s">
        <v>82</v>
      </c>
      <c r="M75" s="259"/>
      <c r="N75" s="259"/>
      <c r="O75" s="259"/>
      <c r="P75" s="260"/>
      <c r="Q75" s="228">
        <f>+AL74*AL75*-1</f>
        <v>0</v>
      </c>
      <c r="R75" s="229"/>
      <c r="S75" s="229"/>
      <c r="T75" s="230"/>
      <c r="U75" s="104"/>
      <c r="V75" s="104"/>
      <c r="W75" s="104"/>
      <c r="X75" s="104"/>
      <c r="Y75" s="104"/>
      <c r="Z75" s="296" t="s">
        <v>85</v>
      </c>
      <c r="AA75" s="297"/>
      <c r="AB75" s="297"/>
      <c r="AC75" s="297"/>
      <c r="AD75" s="297"/>
      <c r="AE75" s="297"/>
      <c r="AF75" s="297"/>
      <c r="AG75" s="297"/>
      <c r="AH75" s="297"/>
      <c r="AI75" s="297"/>
      <c r="AJ75" s="297"/>
      <c r="AK75" s="298"/>
      <c r="AL75" s="662">
        <v>0</v>
      </c>
      <c r="AM75" s="662"/>
      <c r="AN75" s="662"/>
      <c r="AO75" s="662"/>
    </row>
    <row r="76" spans="1:42" ht="8.25" customHeight="1" x14ac:dyDescent="0.25">
      <c r="AE76" s="71"/>
      <c r="AH76" s="71"/>
      <c r="AI76" s="73"/>
      <c r="AP76" s="90"/>
    </row>
    <row r="77" spans="1:42" x14ac:dyDescent="0.25">
      <c r="A77" s="225" t="s">
        <v>87</v>
      </c>
      <c r="B77" s="225"/>
      <c r="C77" s="225"/>
      <c r="D77" s="225"/>
      <c r="E77" s="226"/>
      <c r="F77" s="649" t="s">
        <v>210</v>
      </c>
      <c r="G77" s="641"/>
      <c r="H77" s="642"/>
      <c r="K77" s="373" t="s">
        <v>86</v>
      </c>
      <c r="L77" s="373"/>
      <c r="M77" s="373"/>
      <c r="N77" s="373"/>
      <c r="O77" s="373"/>
      <c r="P77" s="373"/>
      <c r="Q77" s="374"/>
      <c r="R77" s="374"/>
      <c r="S77" s="374"/>
      <c r="T77" s="374"/>
      <c r="V77" s="650" t="s">
        <v>88</v>
      </c>
      <c r="W77" s="651"/>
      <c r="X77" s="651"/>
      <c r="Y77" s="651"/>
      <c r="Z77" s="651"/>
      <c r="AA77" s="651"/>
      <c r="AB77" s="651"/>
      <c r="AC77" s="651"/>
      <c r="AD77" s="651"/>
      <c r="AE77" s="651"/>
      <c r="AF77" s="652"/>
      <c r="AH77" s="71"/>
      <c r="AI77" s="73"/>
      <c r="AP77" s="90"/>
    </row>
    <row r="78" spans="1:42" ht="15.75" x14ac:dyDescent="0.25">
      <c r="A78" s="225" t="s">
        <v>89</v>
      </c>
      <c r="B78" s="225"/>
      <c r="C78" s="225"/>
      <c r="D78" s="225"/>
      <c r="E78" s="226"/>
      <c r="F78" s="643">
        <f>Q79</f>
        <v>692.351</v>
      </c>
      <c r="G78" s="644"/>
      <c r="H78" s="645"/>
      <c r="M78" s="124"/>
      <c r="N78" s="100"/>
      <c r="O78" s="100"/>
      <c r="P78" s="100"/>
      <c r="V78" s="653"/>
      <c r="W78" s="654"/>
      <c r="X78" s="654"/>
      <c r="Y78" s="654"/>
      <c r="Z78" s="654"/>
      <c r="AA78" s="654"/>
      <c r="AB78" s="654"/>
      <c r="AC78" s="654"/>
      <c r="AD78" s="654"/>
      <c r="AE78" s="654"/>
      <c r="AF78" s="655"/>
      <c r="AH78" s="240" t="s">
        <v>91</v>
      </c>
      <c r="AI78" s="241"/>
      <c r="AJ78" s="241"/>
      <c r="AK78" s="242"/>
      <c r="AL78" s="246" t="s">
        <v>92</v>
      </c>
      <c r="AM78" s="247"/>
      <c r="AN78" s="247"/>
      <c r="AO78" s="248"/>
      <c r="AP78" s="73"/>
    </row>
    <row r="79" spans="1:42" ht="15" customHeight="1" x14ac:dyDescent="0.25">
      <c r="A79" s="225" t="s">
        <v>93</v>
      </c>
      <c r="B79" s="225"/>
      <c r="C79" s="225"/>
      <c r="D79" s="225"/>
      <c r="E79" s="226"/>
      <c r="F79" s="640" t="s">
        <v>94</v>
      </c>
      <c r="G79" s="641"/>
      <c r="H79" s="642"/>
      <c r="L79" s="407" t="s">
        <v>90</v>
      </c>
      <c r="M79" s="407"/>
      <c r="N79" s="407"/>
      <c r="O79" s="407"/>
      <c r="P79" s="408"/>
      <c r="Q79" s="228">
        <f>+Q73+Q75+Q77</f>
        <v>692.351</v>
      </c>
      <c r="R79" s="229"/>
      <c r="S79" s="229"/>
      <c r="T79" s="230"/>
      <c r="AH79" s="243"/>
      <c r="AI79" s="244"/>
      <c r="AJ79" s="244"/>
      <c r="AK79" s="245"/>
      <c r="AL79" s="249"/>
      <c r="AM79" s="250"/>
      <c r="AN79" s="250"/>
      <c r="AO79" s="251"/>
      <c r="AP79" s="73"/>
    </row>
    <row r="80" spans="1:42" x14ac:dyDescent="0.25">
      <c r="A80" s="225" t="s">
        <v>95</v>
      </c>
      <c r="B80" s="225"/>
      <c r="C80" s="225"/>
      <c r="D80" s="225"/>
      <c r="E80" s="226"/>
      <c r="F80" s="643"/>
      <c r="G80" s="644"/>
      <c r="H80" s="645"/>
      <c r="V80" s="335" t="str">
        <f>IF(AR3="Année Complète","Nombre de mois travaillés avant:","Nombre de semaines travaillées avant")</f>
        <v>Nombre de mois travaillés avant:</v>
      </c>
      <c r="W80" s="336"/>
      <c r="X80" s="336"/>
      <c r="Y80" s="336"/>
      <c r="Z80" s="336"/>
      <c r="AA80" s="336"/>
      <c r="AB80" s="336"/>
      <c r="AC80" s="336"/>
      <c r="AD80" s="336"/>
      <c r="AE80" s="336"/>
      <c r="AF80" s="336"/>
      <c r="AG80" s="598"/>
      <c r="AH80" s="646"/>
      <c r="AI80" s="647"/>
      <c r="AJ80" s="647"/>
      <c r="AK80" s="648"/>
      <c r="AL80" s="647"/>
      <c r="AM80" s="647"/>
      <c r="AN80" s="647"/>
      <c r="AO80" s="648"/>
      <c r="AP80" s="112"/>
    </row>
    <row r="81" spans="1:42" x14ac:dyDescent="0.25">
      <c r="V81" s="338" t="str">
        <f>IF(AR3="Année Complète","Mois travaillé:","Semaines travaillées ce mois ci :")</f>
        <v>Mois travaillé:</v>
      </c>
      <c r="W81" s="599"/>
      <c r="X81" s="599"/>
      <c r="Y81" s="599"/>
      <c r="Z81" s="599"/>
      <c r="AA81" s="599"/>
      <c r="AB81" s="599"/>
      <c r="AC81" s="599"/>
      <c r="AD81" s="599"/>
      <c r="AE81" s="599"/>
      <c r="AF81" s="599"/>
      <c r="AG81" s="600"/>
      <c r="AH81" s="398"/>
      <c r="AI81" s="399"/>
      <c r="AJ81" s="399"/>
      <c r="AK81" s="400"/>
      <c r="AL81" s="637">
        <v>1</v>
      </c>
      <c r="AM81" s="637"/>
      <c r="AN81" s="637"/>
      <c r="AO81" s="638"/>
      <c r="AP81" s="112"/>
    </row>
    <row r="82" spans="1:42" x14ac:dyDescent="0.25">
      <c r="A82" s="225" t="s">
        <v>96</v>
      </c>
      <c r="B82" s="225"/>
      <c r="C82" s="225"/>
      <c r="D82" s="225"/>
      <c r="E82" s="225"/>
      <c r="F82" s="639"/>
      <c r="G82" s="639"/>
      <c r="H82" s="639"/>
      <c r="I82" s="639"/>
      <c r="J82" s="639"/>
      <c r="K82" s="639"/>
      <c r="L82" s="639"/>
      <c r="V82" s="213" t="s">
        <v>97</v>
      </c>
      <c r="W82" s="214"/>
      <c r="X82" s="214"/>
      <c r="Y82" s="214"/>
      <c r="Z82" s="214"/>
      <c r="AA82" s="214"/>
      <c r="AB82" s="214"/>
      <c r="AC82" s="214"/>
      <c r="AD82" s="214"/>
      <c r="AE82" s="214"/>
      <c r="AF82" s="214"/>
      <c r="AG82" s="215"/>
      <c r="AH82" s="237">
        <f>IF(AR3="Année Complète",MIN(ROUNDUP((AH80*2.5),0),30),MIN(ROUNDUP((AH80/4*2.5),0),30))</f>
        <v>0</v>
      </c>
      <c r="AI82" s="238"/>
      <c r="AJ82" s="238"/>
      <c r="AK82" s="239"/>
      <c r="AL82" s="237">
        <f>IF(AR3="Année Complète",MIN(ROUNDUP((AL80+AL81)*2.5,0),30),MIN(ROUNDUP((AL80+AL81)/4*2.5,0),30))</f>
        <v>3</v>
      </c>
      <c r="AM82" s="238"/>
      <c r="AN82" s="238"/>
      <c r="AO82" s="239"/>
      <c r="AP82" s="112"/>
    </row>
    <row r="83" spans="1:42" x14ac:dyDescent="0.25">
      <c r="A83" s="225" t="s">
        <v>98</v>
      </c>
      <c r="B83" s="225"/>
      <c r="C83" s="225"/>
      <c r="D83" s="225"/>
      <c r="E83" s="225"/>
      <c r="F83" s="636">
        <f>EOMONTH(X3,0)</f>
        <v>46081</v>
      </c>
      <c r="G83" s="636"/>
      <c r="H83" s="636"/>
      <c r="I83" s="636"/>
      <c r="V83" s="213" t="s">
        <v>227</v>
      </c>
      <c r="W83" s="214"/>
      <c r="X83" s="214"/>
      <c r="Y83" s="214"/>
      <c r="Z83" s="214"/>
      <c r="AA83" s="214"/>
      <c r="AB83" s="214"/>
      <c r="AC83" s="214"/>
      <c r="AD83" s="214"/>
      <c r="AE83" s="214"/>
      <c r="AF83" s="214"/>
      <c r="AG83" s="215"/>
      <c r="AH83" s="633"/>
      <c r="AI83" s="634"/>
      <c r="AJ83" s="634"/>
      <c r="AK83" s="635"/>
      <c r="AL83" s="633"/>
      <c r="AM83" s="634"/>
      <c r="AN83" s="634"/>
      <c r="AO83" s="635"/>
      <c r="AP83" s="112"/>
    </row>
    <row r="84" spans="1:42" x14ac:dyDescent="0.25">
      <c r="A84" s="225" t="s">
        <v>100</v>
      </c>
      <c r="B84" s="225"/>
      <c r="C84" s="225"/>
      <c r="D84" s="225"/>
      <c r="E84" s="225"/>
      <c r="V84" s="213" t="s">
        <v>105</v>
      </c>
      <c r="W84" s="214"/>
      <c r="X84" s="214"/>
      <c r="Y84" s="214"/>
      <c r="Z84" s="214"/>
      <c r="AA84" s="214"/>
      <c r="AB84" s="214"/>
      <c r="AC84" s="214"/>
      <c r="AD84" s="214"/>
      <c r="AE84" s="214"/>
      <c r="AF84" s="214"/>
      <c r="AG84" s="215"/>
      <c r="AH84" s="630"/>
      <c r="AI84" s="631"/>
      <c r="AJ84" s="631"/>
      <c r="AK84" s="632"/>
      <c r="AL84" s="404"/>
      <c r="AM84" s="404"/>
      <c r="AN84" s="404"/>
      <c r="AO84" s="405"/>
      <c r="AP84" s="112"/>
    </row>
    <row r="85" spans="1:42" x14ac:dyDescent="0.25">
      <c r="V85" s="213" t="s">
        <v>106</v>
      </c>
      <c r="W85" s="337"/>
      <c r="X85" s="337"/>
      <c r="Y85" s="337"/>
      <c r="Z85" s="337"/>
      <c r="AA85" s="337"/>
      <c r="AB85" s="337"/>
      <c r="AC85" s="337"/>
      <c r="AD85" s="337"/>
      <c r="AE85" s="337"/>
      <c r="AF85" s="337"/>
      <c r="AG85" s="392"/>
      <c r="AH85" s="237">
        <f>MIN(+AH84+AH82+AH83,30)</f>
        <v>0</v>
      </c>
      <c r="AI85" s="238"/>
      <c r="AJ85" s="238"/>
      <c r="AK85" s="239"/>
      <c r="AL85" s="237">
        <f>MIN(+AL82+AL83,30)</f>
        <v>3</v>
      </c>
      <c r="AM85" s="238"/>
      <c r="AN85" s="238"/>
      <c r="AO85" s="239"/>
      <c r="AP85" s="112"/>
    </row>
    <row r="86" spans="1:42" x14ac:dyDescent="0.25">
      <c r="V86" s="213" t="s">
        <v>99</v>
      </c>
      <c r="W86" s="337"/>
      <c r="X86" s="337"/>
      <c r="Y86" s="337"/>
      <c r="Z86" s="337"/>
      <c r="AA86" s="337"/>
      <c r="AB86" s="337"/>
      <c r="AC86" s="337"/>
      <c r="AD86" s="337"/>
      <c r="AE86" s="337"/>
      <c r="AF86" s="337"/>
      <c r="AG86" s="392"/>
      <c r="AH86" s="633"/>
      <c r="AI86" s="634"/>
      <c r="AJ86" s="634"/>
      <c r="AK86" s="635"/>
      <c r="AL86" s="633"/>
      <c r="AM86" s="634"/>
      <c r="AN86" s="634"/>
      <c r="AO86" s="635"/>
      <c r="AP86" s="112"/>
    </row>
    <row r="87" spans="1:42" x14ac:dyDescent="0.25">
      <c r="A87" s="227" t="s">
        <v>129</v>
      </c>
      <c r="B87" s="227"/>
      <c r="C87" s="227"/>
      <c r="D87" s="227"/>
      <c r="E87" s="227"/>
      <c r="F87" s="227"/>
      <c r="V87" s="627" t="s">
        <v>101</v>
      </c>
      <c r="W87" s="628"/>
      <c r="X87" s="628"/>
      <c r="Y87" s="628"/>
      <c r="Z87" s="628"/>
      <c r="AA87" s="628"/>
      <c r="AB87" s="628"/>
      <c r="AC87" s="628"/>
      <c r="AD87" s="628"/>
      <c r="AE87" s="628"/>
      <c r="AF87" s="628"/>
      <c r="AG87" s="629"/>
      <c r="AH87" s="630"/>
      <c r="AI87" s="631"/>
      <c r="AJ87" s="631"/>
      <c r="AK87" s="632"/>
      <c r="AL87" s="630"/>
      <c r="AM87" s="631"/>
      <c r="AN87" s="631"/>
      <c r="AO87" s="632"/>
      <c r="AP87" s="112"/>
    </row>
    <row r="88" spans="1:42" x14ac:dyDescent="0.25">
      <c r="A88" s="227" t="s">
        <v>130</v>
      </c>
      <c r="B88" s="227"/>
      <c r="C88" s="227"/>
      <c r="D88" s="227"/>
      <c r="E88" s="227"/>
      <c r="F88" s="227"/>
      <c r="V88" s="395" t="s">
        <v>102</v>
      </c>
      <c r="W88" s="396"/>
      <c r="X88" s="396"/>
      <c r="Y88" s="396"/>
      <c r="Z88" s="396"/>
      <c r="AA88" s="396"/>
      <c r="AB88" s="396"/>
      <c r="AC88" s="396"/>
      <c r="AD88" s="396"/>
      <c r="AE88" s="396"/>
      <c r="AF88" s="396"/>
      <c r="AG88" s="397"/>
      <c r="AH88" s="234">
        <f>+AH85-AH86-AH87</f>
        <v>0</v>
      </c>
      <c r="AI88" s="235"/>
      <c r="AJ88" s="235"/>
      <c r="AK88" s="236"/>
      <c r="AL88" s="234">
        <f>+AL85-AL86-AL87</f>
        <v>3</v>
      </c>
      <c r="AM88" s="235"/>
      <c r="AN88" s="235"/>
      <c r="AO88" s="236"/>
      <c r="AP88" s="112"/>
    </row>
    <row r="89" spans="1:42" x14ac:dyDescent="0.25">
      <c r="V89" s="216" t="s">
        <v>107</v>
      </c>
      <c r="W89" s="217"/>
      <c r="X89" s="217"/>
      <c r="Y89" s="217"/>
      <c r="Z89" s="217"/>
      <c r="AA89" s="217"/>
      <c r="AB89" s="217"/>
      <c r="AC89" s="217"/>
      <c r="AD89" s="217"/>
      <c r="AE89" s="217"/>
      <c r="AF89" s="217"/>
      <c r="AG89" s="218"/>
      <c r="AH89" s="624"/>
      <c r="AI89" s="625"/>
      <c r="AJ89" s="625"/>
      <c r="AK89" s="626"/>
      <c r="AL89" s="222"/>
      <c r="AM89" s="223"/>
      <c r="AN89" s="223"/>
      <c r="AO89" s="224"/>
    </row>
    <row r="90" spans="1:42" x14ac:dyDescent="0.25">
      <c r="A90" s="384"/>
      <c r="B90" s="384"/>
      <c r="C90" s="384"/>
      <c r="D90" s="384"/>
      <c r="E90" s="384"/>
      <c r="F90" s="384"/>
      <c r="G90" s="384"/>
      <c r="H90" s="384"/>
      <c r="I90" s="384"/>
      <c r="J90" s="384"/>
      <c r="K90" s="384"/>
      <c r="L90" s="384"/>
      <c r="M90" s="384"/>
      <c r="N90" s="384"/>
      <c r="O90" s="384"/>
      <c r="P90" s="384"/>
      <c r="Q90" s="384"/>
      <c r="R90" s="384"/>
      <c r="S90" s="384"/>
      <c r="T90" s="384"/>
      <c r="U90" s="384"/>
      <c r="V90" s="384"/>
      <c r="W90" s="384"/>
      <c r="X90" s="384"/>
      <c r="Y90" s="384"/>
      <c r="Z90" s="384"/>
      <c r="AA90" s="384"/>
      <c r="AB90" s="384"/>
      <c r="AC90" s="384"/>
      <c r="AD90" s="384"/>
      <c r="AE90" s="384"/>
      <c r="AF90" s="384"/>
      <c r="AG90" s="384"/>
      <c r="AH90" s="384"/>
      <c r="AI90" s="384"/>
      <c r="AJ90" s="384"/>
      <c r="AK90" s="384"/>
      <c r="AL90" s="384"/>
      <c r="AM90" s="384"/>
      <c r="AN90" s="384"/>
      <c r="AO90" s="384"/>
    </row>
    <row r="91" spans="1:42" x14ac:dyDescent="0.25">
      <c r="R91" s="73"/>
      <c r="S91" s="73"/>
      <c r="T91" s="73"/>
      <c r="U91" s="73"/>
      <c r="V91" s="73"/>
      <c r="W91" s="73"/>
      <c r="X91" s="73"/>
      <c r="Y91" s="73"/>
      <c r="Z91" s="73"/>
      <c r="AB91" s="73"/>
      <c r="AC91" s="73"/>
      <c r="AD91" s="73"/>
      <c r="AE91" s="73"/>
      <c r="AF91" s="73"/>
      <c r="AG91" s="73"/>
      <c r="AH91" s="73"/>
    </row>
    <row r="92" spans="1:42" x14ac:dyDescent="0.25">
      <c r="AA92" s="73"/>
    </row>
    <row r="95" spans="1:42" x14ac:dyDescent="0.25">
      <c r="N95" s="73"/>
      <c r="O95" s="73"/>
      <c r="P95" s="73"/>
      <c r="Q95" s="73"/>
    </row>
    <row r="103" spans="6:10" x14ac:dyDescent="0.25">
      <c r="F103" s="71"/>
      <c r="G103" s="363"/>
      <c r="H103" s="363"/>
      <c r="I103" s="363"/>
      <c r="J103" s="363"/>
    </row>
    <row r="104" spans="6:10" x14ac:dyDescent="0.25">
      <c r="F104" s="71"/>
      <c r="G104" s="363"/>
      <c r="H104" s="363"/>
      <c r="I104" s="363"/>
      <c r="J104" s="363"/>
    </row>
    <row r="105" spans="6:10" x14ac:dyDescent="0.25">
      <c r="F105" s="71"/>
      <c r="G105" s="363"/>
      <c r="H105" s="363"/>
      <c r="I105" s="363"/>
      <c r="J105" s="363"/>
    </row>
    <row r="106" spans="6:10" x14ac:dyDescent="0.25">
      <c r="F106" s="71"/>
      <c r="G106" s="363"/>
      <c r="H106" s="363"/>
      <c r="I106" s="363"/>
      <c r="J106" s="363"/>
    </row>
    <row r="107" spans="6:10" x14ac:dyDescent="0.25">
      <c r="F107" s="71"/>
      <c r="G107" s="363"/>
      <c r="H107" s="363"/>
      <c r="I107" s="363"/>
      <c r="J107" s="363"/>
    </row>
  </sheetData>
  <sheetProtection algorithmName="SHA-512" hashValue="LuENX/RNBX7ODJecLO9qQT2WadBsRjXhHOxs1ydNiz4QnaRifX/qJDZ5x6LVJbzxRFOgU59PmAxjil6g0gNajQ==" saltValue="7/uWaPUbXYn81IcCjeDiFQ==" spinCount="100000" sheet="1" objects="1" scenarios="1" formatCells="0" formatColumns="0" formatRows="0" insertColumns="0" insertRows="0" insertHyperlinks="0" sort="0" autoFilter="0" pivotTables="0"/>
  <mergeCells count="527">
    <mergeCell ref="A1:AO1"/>
    <mergeCell ref="BC1:BD1"/>
    <mergeCell ref="A3:R3"/>
    <mergeCell ref="X3:AC3"/>
    <mergeCell ref="AF3:AH3"/>
    <mergeCell ref="AI3:AO3"/>
    <mergeCell ref="AR3:AS3"/>
    <mergeCell ref="BC7:BD7"/>
    <mergeCell ref="A4:D4"/>
    <mergeCell ref="E4:R4"/>
    <mergeCell ref="X4:AC4"/>
    <mergeCell ref="AF4:AI4"/>
    <mergeCell ref="AJ4:AO4"/>
    <mergeCell ref="A5:D5"/>
    <mergeCell ref="E5:R5"/>
    <mergeCell ref="X5:Y5"/>
    <mergeCell ref="Z5:AA5"/>
    <mergeCell ref="AB5:AC5"/>
    <mergeCell ref="A8:D8"/>
    <mergeCell ref="E8:R8"/>
    <mergeCell ref="V8:Y8"/>
    <mergeCell ref="Z8:AO8"/>
    <mergeCell ref="V9:Y9"/>
    <mergeCell ref="Z9:AO9"/>
    <mergeCell ref="A6:D6"/>
    <mergeCell ref="E6:R6"/>
    <mergeCell ref="A7:D7"/>
    <mergeCell ref="E7:R7"/>
    <mergeCell ref="V7:AO7"/>
    <mergeCell ref="BC13:BD13"/>
    <mergeCell ref="H14:K14"/>
    <mergeCell ref="O14:T14"/>
    <mergeCell ref="U14:X14"/>
    <mergeCell ref="AE14:AK14"/>
    <mergeCell ref="AL14:AO14"/>
    <mergeCell ref="A10:M11"/>
    <mergeCell ref="V10:Y10"/>
    <mergeCell ref="Z10:AO10"/>
    <mergeCell ref="V11:Y11"/>
    <mergeCell ref="Z11:AO11"/>
    <mergeCell ref="V12:Y12"/>
    <mergeCell ref="Z12:AO12"/>
    <mergeCell ref="M15:N15"/>
    <mergeCell ref="X15:Y15"/>
    <mergeCell ref="AE15:AK15"/>
    <mergeCell ref="AL15:AO15"/>
    <mergeCell ref="AR17:AS17"/>
    <mergeCell ref="A18:K18"/>
    <mergeCell ref="L18:O18"/>
    <mergeCell ref="P18:S18"/>
    <mergeCell ref="T18:W18"/>
    <mergeCell ref="AB18:AC19"/>
    <mergeCell ref="BC19:BD19"/>
    <mergeCell ref="A20:K20"/>
    <mergeCell ref="L20:O20"/>
    <mergeCell ref="P20:S20"/>
    <mergeCell ref="T20:W20"/>
    <mergeCell ref="AB20:AC20"/>
    <mergeCell ref="AD20:AF20"/>
    <mergeCell ref="AG20:AI20"/>
    <mergeCell ref="AJ20:AL20"/>
    <mergeCell ref="AD18:AF19"/>
    <mergeCell ref="AG18:AI19"/>
    <mergeCell ref="AJ18:AL19"/>
    <mergeCell ref="A19:K19"/>
    <mergeCell ref="L19:O19"/>
    <mergeCell ref="P19:S19"/>
    <mergeCell ref="T19:W19"/>
    <mergeCell ref="AG21:AI21"/>
    <mergeCell ref="AJ21:AL21"/>
    <mergeCell ref="A22:K22"/>
    <mergeCell ref="L22:O22"/>
    <mergeCell ref="P22:S22"/>
    <mergeCell ref="T22:W22"/>
    <mergeCell ref="AB22:AC22"/>
    <mergeCell ref="AD22:AF22"/>
    <mergeCell ref="AG22:AI22"/>
    <mergeCell ref="AJ22:AL22"/>
    <mergeCell ref="A21:K21"/>
    <mergeCell ref="L21:O21"/>
    <mergeCell ref="P21:S21"/>
    <mergeCell ref="T21:W21"/>
    <mergeCell ref="AB21:AC21"/>
    <mergeCell ref="AD21:AF21"/>
    <mergeCell ref="AG23:AI23"/>
    <mergeCell ref="AJ23:AL23"/>
    <mergeCell ref="A24:A25"/>
    <mergeCell ref="B24:K24"/>
    <mergeCell ref="L24:O24"/>
    <mergeCell ref="P24:S24"/>
    <mergeCell ref="T24:W24"/>
    <mergeCell ref="AB24:AC24"/>
    <mergeCell ref="AD24:AF24"/>
    <mergeCell ref="AG24:AI24"/>
    <mergeCell ref="A23:K23"/>
    <mergeCell ref="L23:O23"/>
    <mergeCell ref="P23:S23"/>
    <mergeCell ref="T23:W23"/>
    <mergeCell ref="AB23:AC23"/>
    <mergeCell ref="AD23:AF23"/>
    <mergeCell ref="AJ24:AL24"/>
    <mergeCell ref="B25:K25"/>
    <mergeCell ref="L25:O25"/>
    <mergeCell ref="P25:S25"/>
    <mergeCell ref="T25:W25"/>
    <mergeCell ref="AB25:AC25"/>
    <mergeCell ref="AD25:AF25"/>
    <mergeCell ref="AG25:AI25"/>
    <mergeCell ref="AJ25:AL25"/>
    <mergeCell ref="A26:A32"/>
    <mergeCell ref="B26:K26"/>
    <mergeCell ref="L26:O26"/>
    <mergeCell ref="P26:S26"/>
    <mergeCell ref="T26:W26"/>
    <mergeCell ref="AB26:AC26"/>
    <mergeCell ref="B29:K29"/>
    <mergeCell ref="L29:O29"/>
    <mergeCell ref="P29:S29"/>
    <mergeCell ref="T29:W29"/>
    <mergeCell ref="AD26:AF26"/>
    <mergeCell ref="AG26:AI26"/>
    <mergeCell ref="AJ26:AL26"/>
    <mergeCell ref="B27:K27"/>
    <mergeCell ref="L27:O27"/>
    <mergeCell ref="P27:S27"/>
    <mergeCell ref="T27:W27"/>
    <mergeCell ref="AB27:AC27"/>
    <mergeCell ref="AD27:AF27"/>
    <mergeCell ref="AG27:AI27"/>
    <mergeCell ref="AJ27:AL27"/>
    <mergeCell ref="B28:K28"/>
    <mergeCell ref="L28:O28"/>
    <mergeCell ref="P28:S28"/>
    <mergeCell ref="T28:W28"/>
    <mergeCell ref="AB28:AC28"/>
    <mergeCell ref="AD28:AF28"/>
    <mergeCell ref="AG28:AI28"/>
    <mergeCell ref="AJ28:AL28"/>
    <mergeCell ref="AB29:AC29"/>
    <mergeCell ref="AD29:AF29"/>
    <mergeCell ref="AG29:AI29"/>
    <mergeCell ref="AJ29:AL29"/>
    <mergeCell ref="B30:K30"/>
    <mergeCell ref="L30:O30"/>
    <mergeCell ref="P30:S30"/>
    <mergeCell ref="T30:W30"/>
    <mergeCell ref="AB30:AC30"/>
    <mergeCell ref="AD30:AF30"/>
    <mergeCell ref="AG30:AI30"/>
    <mergeCell ref="AJ30:AL30"/>
    <mergeCell ref="AR30:AU32"/>
    <mergeCell ref="B31:K31"/>
    <mergeCell ref="L31:O31"/>
    <mergeCell ref="P31:S31"/>
    <mergeCell ref="T31:W31"/>
    <mergeCell ref="AB31:AC31"/>
    <mergeCell ref="AD31:AF31"/>
    <mergeCell ref="AG31:AI31"/>
    <mergeCell ref="L33:S33"/>
    <mergeCell ref="T33:W33"/>
    <mergeCell ref="AB33:AC33"/>
    <mergeCell ref="AD33:AF33"/>
    <mergeCell ref="AG33:AI33"/>
    <mergeCell ref="AJ33:AL33"/>
    <mergeCell ref="AJ31:AL31"/>
    <mergeCell ref="B32:K32"/>
    <mergeCell ref="L32:O32"/>
    <mergeCell ref="P32:S32"/>
    <mergeCell ref="T32:W32"/>
    <mergeCell ref="AB32:AC32"/>
    <mergeCell ref="AD32:AF32"/>
    <mergeCell ref="AG32:AI32"/>
    <mergeCell ref="AJ32:AL32"/>
    <mergeCell ref="AB34:AC34"/>
    <mergeCell ref="AD34:AF34"/>
    <mergeCell ref="AG34:AI34"/>
    <mergeCell ref="AJ34:AL34"/>
    <mergeCell ref="H35:P35"/>
    <mergeCell ref="R35:Z35"/>
    <mergeCell ref="AB35:AC35"/>
    <mergeCell ref="AD35:AF35"/>
    <mergeCell ref="AG35:AI35"/>
    <mergeCell ref="AJ35:AL35"/>
    <mergeCell ref="A37:G37"/>
    <mergeCell ref="H37:J37"/>
    <mergeCell ref="K37:M37"/>
    <mergeCell ref="N37:P37"/>
    <mergeCell ref="R37:T37"/>
    <mergeCell ref="A36:G36"/>
    <mergeCell ref="H36:J36"/>
    <mergeCell ref="K36:M36"/>
    <mergeCell ref="N36:P36"/>
    <mergeCell ref="R36:T36"/>
    <mergeCell ref="U37:W37"/>
    <mergeCell ref="X37:Z37"/>
    <mergeCell ref="AB37:AC37"/>
    <mergeCell ref="AD37:AF37"/>
    <mergeCell ref="AG37:AI37"/>
    <mergeCell ref="AJ37:AL37"/>
    <mergeCell ref="X36:Z36"/>
    <mergeCell ref="AB36:AC36"/>
    <mergeCell ref="AD36:AF36"/>
    <mergeCell ref="AG36:AI36"/>
    <mergeCell ref="AJ36:AL36"/>
    <mergeCell ref="U36:W36"/>
    <mergeCell ref="X38:Z38"/>
    <mergeCell ref="AB38:AC38"/>
    <mergeCell ref="AD38:AF38"/>
    <mergeCell ref="AG38:AI38"/>
    <mergeCell ref="AJ38:AL38"/>
    <mergeCell ref="AR38:AS38"/>
    <mergeCell ref="A38:G38"/>
    <mergeCell ref="H38:J38"/>
    <mergeCell ref="K38:M38"/>
    <mergeCell ref="N38:P38"/>
    <mergeCell ref="R38:T38"/>
    <mergeCell ref="U38:W38"/>
    <mergeCell ref="A40:G40"/>
    <mergeCell ref="H40:J40"/>
    <mergeCell ref="K40:M40"/>
    <mergeCell ref="N40:P40"/>
    <mergeCell ref="R40:T40"/>
    <mergeCell ref="A39:G39"/>
    <mergeCell ref="H39:J39"/>
    <mergeCell ref="K39:M39"/>
    <mergeCell ref="N39:P39"/>
    <mergeCell ref="R39:T39"/>
    <mergeCell ref="U40:W40"/>
    <mergeCell ref="X40:Z40"/>
    <mergeCell ref="AB40:AC40"/>
    <mergeCell ref="AD40:AF40"/>
    <mergeCell ref="AG40:AI40"/>
    <mergeCell ref="AJ40:AL40"/>
    <mergeCell ref="X39:Z39"/>
    <mergeCell ref="AB39:AC39"/>
    <mergeCell ref="AD39:AF39"/>
    <mergeCell ref="AG39:AI39"/>
    <mergeCell ref="AJ39:AL39"/>
    <mergeCell ref="U39:W39"/>
    <mergeCell ref="A42:G42"/>
    <mergeCell ref="H42:J42"/>
    <mergeCell ref="K42:M42"/>
    <mergeCell ref="N42:P42"/>
    <mergeCell ref="R42:T42"/>
    <mergeCell ref="N41:P41"/>
    <mergeCell ref="R41:T41"/>
    <mergeCell ref="U42:W42"/>
    <mergeCell ref="X42:Z42"/>
    <mergeCell ref="AB42:AC42"/>
    <mergeCell ref="AD42:AF42"/>
    <mergeCell ref="AG42:AI42"/>
    <mergeCell ref="AJ42:AL42"/>
    <mergeCell ref="X41:Z41"/>
    <mergeCell ref="AB41:AC41"/>
    <mergeCell ref="AD41:AF41"/>
    <mergeCell ref="AG41:AI41"/>
    <mergeCell ref="AJ41:AL41"/>
    <mergeCell ref="U41:W41"/>
    <mergeCell ref="A44:G44"/>
    <mergeCell ref="H44:J44"/>
    <mergeCell ref="K44:M44"/>
    <mergeCell ref="N44:P44"/>
    <mergeCell ref="R44:T44"/>
    <mergeCell ref="K43:M43"/>
    <mergeCell ref="N43:P43"/>
    <mergeCell ref="R43:T43"/>
    <mergeCell ref="U44:W44"/>
    <mergeCell ref="X44:Z44"/>
    <mergeCell ref="AB44:AC44"/>
    <mergeCell ref="AD44:AF44"/>
    <mergeCell ref="AG44:AI44"/>
    <mergeCell ref="AJ44:AL44"/>
    <mergeCell ref="X43:Z43"/>
    <mergeCell ref="AB43:AC43"/>
    <mergeCell ref="AD43:AF43"/>
    <mergeCell ref="AG43:AI43"/>
    <mergeCell ref="AJ43:AL43"/>
    <mergeCell ref="U43:W43"/>
    <mergeCell ref="A46:G46"/>
    <mergeCell ref="H46:J46"/>
    <mergeCell ref="K46:M46"/>
    <mergeCell ref="N46:P46"/>
    <mergeCell ref="R46:T46"/>
    <mergeCell ref="A45:G45"/>
    <mergeCell ref="H45:J45"/>
    <mergeCell ref="K45:M45"/>
    <mergeCell ref="N45:P45"/>
    <mergeCell ref="R45:T45"/>
    <mergeCell ref="U46:W46"/>
    <mergeCell ref="X46:Z46"/>
    <mergeCell ref="AB46:AC46"/>
    <mergeCell ref="AD46:AF46"/>
    <mergeCell ref="AG46:AI46"/>
    <mergeCell ref="AJ46:AL46"/>
    <mergeCell ref="X45:Z45"/>
    <mergeCell ref="AB45:AC45"/>
    <mergeCell ref="AD45:AF45"/>
    <mergeCell ref="AG45:AI45"/>
    <mergeCell ref="AJ45:AL45"/>
    <mergeCell ref="U45:W45"/>
    <mergeCell ref="H48:J48"/>
    <mergeCell ref="K48:M48"/>
    <mergeCell ref="N48:P48"/>
    <mergeCell ref="R48:T48"/>
    <mergeCell ref="H47:J47"/>
    <mergeCell ref="K47:M47"/>
    <mergeCell ref="N47:P47"/>
    <mergeCell ref="R47:T47"/>
    <mergeCell ref="U48:W48"/>
    <mergeCell ref="X48:Z48"/>
    <mergeCell ref="AB48:AC48"/>
    <mergeCell ref="AD48:AF48"/>
    <mergeCell ref="AG48:AI48"/>
    <mergeCell ref="AJ48:AL48"/>
    <mergeCell ref="X47:Z47"/>
    <mergeCell ref="AB47:AC47"/>
    <mergeCell ref="AD47:AF47"/>
    <mergeCell ref="AG47:AI47"/>
    <mergeCell ref="AJ47:AL47"/>
    <mergeCell ref="U47:W47"/>
    <mergeCell ref="H50:J50"/>
    <mergeCell ref="K50:M50"/>
    <mergeCell ref="N50:P50"/>
    <mergeCell ref="R50:T50"/>
    <mergeCell ref="A49:G49"/>
    <mergeCell ref="H49:J49"/>
    <mergeCell ref="K49:M49"/>
    <mergeCell ref="N49:P49"/>
    <mergeCell ref="R49:T49"/>
    <mergeCell ref="U50:W50"/>
    <mergeCell ref="X50:Z50"/>
    <mergeCell ref="AB50:AC50"/>
    <mergeCell ref="AD50:AF50"/>
    <mergeCell ref="AG50:AI50"/>
    <mergeCell ref="AJ50:AL50"/>
    <mergeCell ref="X49:Z49"/>
    <mergeCell ref="AB49:AC49"/>
    <mergeCell ref="AD49:AF49"/>
    <mergeCell ref="AG49:AI49"/>
    <mergeCell ref="AJ49:AL49"/>
    <mergeCell ref="U49:W49"/>
    <mergeCell ref="X51:Z51"/>
    <mergeCell ref="AB51:AC51"/>
    <mergeCell ref="AD51:AF51"/>
    <mergeCell ref="AG51:AI51"/>
    <mergeCell ref="AJ51:AL51"/>
    <mergeCell ref="H52:J52"/>
    <mergeCell ref="K52:M52"/>
    <mergeCell ref="N52:P52"/>
    <mergeCell ref="R52:T52"/>
    <mergeCell ref="H51:J51"/>
    <mergeCell ref="K51:M51"/>
    <mergeCell ref="N51:P51"/>
    <mergeCell ref="R51:T51"/>
    <mergeCell ref="U51:W51"/>
    <mergeCell ref="U52:W52"/>
    <mergeCell ref="X52:Z52"/>
    <mergeCell ref="H53:J53"/>
    <mergeCell ref="K53:M53"/>
    <mergeCell ref="N53:P53"/>
    <mergeCell ref="R53:T53"/>
    <mergeCell ref="U53:W53"/>
    <mergeCell ref="X53:Z53"/>
    <mergeCell ref="X54:Z54"/>
    <mergeCell ref="H55:J55"/>
    <mergeCell ref="K55:M55"/>
    <mergeCell ref="N55:P55"/>
    <mergeCell ref="R55:T55"/>
    <mergeCell ref="U55:W55"/>
    <mergeCell ref="X55:Z55"/>
    <mergeCell ref="H54:J54"/>
    <mergeCell ref="K54:M54"/>
    <mergeCell ref="N54:P54"/>
    <mergeCell ref="R54:T54"/>
    <mergeCell ref="U54:W54"/>
    <mergeCell ref="X56:Z56"/>
    <mergeCell ref="A57:G57"/>
    <mergeCell ref="H57:J57"/>
    <mergeCell ref="K57:M57"/>
    <mergeCell ref="N57:P57"/>
    <mergeCell ref="R57:T57"/>
    <mergeCell ref="U57:W57"/>
    <mergeCell ref="X57:Z57"/>
    <mergeCell ref="H56:J56"/>
    <mergeCell ref="K56:M56"/>
    <mergeCell ref="N56:P56"/>
    <mergeCell ref="R56:T56"/>
    <mergeCell ref="U56:W56"/>
    <mergeCell ref="R60:AO60"/>
    <mergeCell ref="A61:G61"/>
    <mergeCell ref="H61:J61"/>
    <mergeCell ref="K61:M61"/>
    <mergeCell ref="N61:P61"/>
    <mergeCell ref="R61:W61"/>
    <mergeCell ref="X61:Z61"/>
    <mergeCell ref="AC61:AO61"/>
    <mergeCell ref="H58:M58"/>
    <mergeCell ref="N58:P58"/>
    <mergeCell ref="R58:W58"/>
    <mergeCell ref="X58:Z58"/>
    <mergeCell ref="H59:M59"/>
    <mergeCell ref="N59:P59"/>
    <mergeCell ref="A62:A67"/>
    <mergeCell ref="H62:J62"/>
    <mergeCell ref="K62:M62"/>
    <mergeCell ref="N62:P62"/>
    <mergeCell ref="R62:Z62"/>
    <mergeCell ref="AC62:AO62"/>
    <mergeCell ref="H63:J63"/>
    <mergeCell ref="K63:M63"/>
    <mergeCell ref="N63:P63"/>
    <mergeCell ref="R63:Z63"/>
    <mergeCell ref="H65:J65"/>
    <mergeCell ref="K65:M65"/>
    <mergeCell ref="N65:P65"/>
    <mergeCell ref="H66:J66"/>
    <mergeCell ref="K66:M66"/>
    <mergeCell ref="N66:P66"/>
    <mergeCell ref="AC63:AO63"/>
    <mergeCell ref="H64:J64"/>
    <mergeCell ref="K64:M64"/>
    <mergeCell ref="N64:P64"/>
    <mergeCell ref="R64:Z64"/>
    <mergeCell ref="AC64:AO64"/>
    <mergeCell ref="AD66:AK66"/>
    <mergeCell ref="AL66:AO66"/>
    <mergeCell ref="C67:G67"/>
    <mergeCell ref="H67:J67"/>
    <mergeCell ref="K67:M67"/>
    <mergeCell ref="N67:P67"/>
    <mergeCell ref="Z67:AB67"/>
    <mergeCell ref="AD67:AK67"/>
    <mergeCell ref="AL67:AO67"/>
    <mergeCell ref="AL68:AO68"/>
    <mergeCell ref="N69:P69"/>
    <mergeCell ref="E71:G71"/>
    <mergeCell ref="H71:K71"/>
    <mergeCell ref="L71:P71"/>
    <mergeCell ref="Q71:T71"/>
    <mergeCell ref="Z71:AK71"/>
    <mergeCell ref="AL71:AO71"/>
    <mergeCell ref="B68:G68"/>
    <mergeCell ref="H68:J68"/>
    <mergeCell ref="K68:M68"/>
    <mergeCell ref="N68:P68"/>
    <mergeCell ref="Z68:AB68"/>
    <mergeCell ref="AD68:AK68"/>
    <mergeCell ref="A72:D72"/>
    <mergeCell ref="E72:G72"/>
    <mergeCell ref="H72:K72"/>
    <mergeCell ref="Z72:AK72"/>
    <mergeCell ref="AL72:AO72"/>
    <mergeCell ref="A73:D73"/>
    <mergeCell ref="E73:G73"/>
    <mergeCell ref="H73:K73"/>
    <mergeCell ref="L73:P73"/>
    <mergeCell ref="Q73:T73"/>
    <mergeCell ref="A74:D74"/>
    <mergeCell ref="E74:G74"/>
    <mergeCell ref="H74:K74"/>
    <mergeCell ref="Z74:AK74"/>
    <mergeCell ref="AL74:AO74"/>
    <mergeCell ref="A75:D75"/>
    <mergeCell ref="E75:G75"/>
    <mergeCell ref="H75:K75"/>
    <mergeCell ref="L75:P75"/>
    <mergeCell ref="Q75:T75"/>
    <mergeCell ref="Z75:AK75"/>
    <mergeCell ref="AL75:AO75"/>
    <mergeCell ref="A77:E77"/>
    <mergeCell ref="F77:H77"/>
    <mergeCell ref="K77:P77"/>
    <mergeCell ref="Q77:T77"/>
    <mergeCell ref="V77:AF78"/>
    <mergeCell ref="A78:E78"/>
    <mergeCell ref="F78:H78"/>
    <mergeCell ref="AH78:AK79"/>
    <mergeCell ref="V81:AG81"/>
    <mergeCell ref="AH81:AK81"/>
    <mergeCell ref="AL81:AO81"/>
    <mergeCell ref="A82:E82"/>
    <mergeCell ref="F82:L82"/>
    <mergeCell ref="V82:AG82"/>
    <mergeCell ref="AH82:AK82"/>
    <mergeCell ref="AL82:AO82"/>
    <mergeCell ref="AL78:AO79"/>
    <mergeCell ref="A79:E79"/>
    <mergeCell ref="F79:H79"/>
    <mergeCell ref="L79:P79"/>
    <mergeCell ref="Q79:T79"/>
    <mergeCell ref="A80:E80"/>
    <mergeCell ref="F80:H80"/>
    <mergeCell ref="V80:AG80"/>
    <mergeCell ref="AH80:AK80"/>
    <mergeCell ref="AL80:AO80"/>
    <mergeCell ref="A83:E83"/>
    <mergeCell ref="F83:I83"/>
    <mergeCell ref="V83:AG83"/>
    <mergeCell ref="AH83:AK83"/>
    <mergeCell ref="AL83:AO83"/>
    <mergeCell ref="A84:E84"/>
    <mergeCell ref="V84:AG84"/>
    <mergeCell ref="AH84:AK84"/>
    <mergeCell ref="AL84:AO84"/>
    <mergeCell ref="A87:F87"/>
    <mergeCell ref="V87:AG87"/>
    <mergeCell ref="AH87:AK87"/>
    <mergeCell ref="AL87:AO87"/>
    <mergeCell ref="A88:F88"/>
    <mergeCell ref="V88:AG88"/>
    <mergeCell ref="AH88:AK88"/>
    <mergeCell ref="AL88:AO88"/>
    <mergeCell ref="V85:AG85"/>
    <mergeCell ref="AH85:AK85"/>
    <mergeCell ref="AL85:AO85"/>
    <mergeCell ref="V86:AG86"/>
    <mergeCell ref="AH86:AK86"/>
    <mergeCell ref="AL86:AO86"/>
    <mergeCell ref="G105:J105"/>
    <mergeCell ref="G106:J106"/>
    <mergeCell ref="G107:J107"/>
    <mergeCell ref="V89:AG89"/>
    <mergeCell ref="AH89:AK89"/>
    <mergeCell ref="AL89:AO89"/>
    <mergeCell ref="A90:AO90"/>
    <mergeCell ref="G103:J103"/>
    <mergeCell ref="G104:J104"/>
  </mergeCells>
  <conditionalFormatting sqref="B26:K27 T26:W32">
    <cfRule type="notContainsBlanks" dxfId="24" priority="6">
      <formula>LEN(TRIM(B26))&gt;0</formula>
    </cfRule>
  </conditionalFormatting>
  <conditionalFormatting sqref="C67:G67 N67:P67 H68:J68">
    <cfRule type="notContainsBlanks" dxfId="23" priority="4">
      <formula>LEN(TRIM(C67))&gt;0</formula>
    </cfRule>
  </conditionalFormatting>
  <conditionalFormatting sqref="E4:R8">
    <cfRule type="notContainsBlanks" dxfId="22" priority="10">
      <formula>LEN(TRIM(E4))&gt;0</formula>
    </cfRule>
  </conditionalFormatting>
  <conditionalFormatting sqref="H14:K14 U14:X14 AL14:AO14">
    <cfRule type="notContainsBlanks" dxfId="21" priority="7">
      <formula>LEN(TRIM(H14))&gt;0</formula>
    </cfRule>
  </conditionalFormatting>
  <conditionalFormatting sqref="H72:K75">
    <cfRule type="notContainsBlanks" dxfId="20" priority="3">
      <formula>LEN(TRIM(H72))&gt;0</formula>
    </cfRule>
  </conditionalFormatting>
  <conditionalFormatting sqref="H62:M66">
    <cfRule type="notContainsBlanks" dxfId="19" priority="5">
      <formula>LEN(TRIM(H62))&gt;0</formula>
    </cfRule>
  </conditionalFormatting>
  <conditionalFormatting sqref="H37:P38 H39:M40 N39:P49 H42:J42 K42:M49 H44:J49 H50:P57">
    <cfRule type="cellIs" dxfId="18" priority="1" operator="equal">
      <formula>0</formula>
    </cfRule>
  </conditionalFormatting>
  <conditionalFormatting sqref="L21:O21">
    <cfRule type="expression" dxfId="17" priority="23">
      <formula>$A$21=""</formula>
    </cfRule>
    <cfRule type="cellIs" dxfId="16" priority="24" operator="equal">
      <formula>0</formula>
    </cfRule>
  </conditionalFormatting>
  <conditionalFormatting sqref="L24:O25">
    <cfRule type="cellIs" dxfId="15" priority="19" operator="equal">
      <formula>0</formula>
    </cfRule>
  </conditionalFormatting>
  <conditionalFormatting sqref="L22:S22">
    <cfRule type="expression" dxfId="14" priority="14">
      <formula>$L$22=0</formula>
    </cfRule>
  </conditionalFormatting>
  <conditionalFormatting sqref="L23:S23">
    <cfRule type="expression" dxfId="13" priority="13">
      <formula>$L$23=0</formula>
    </cfRule>
  </conditionalFormatting>
  <conditionalFormatting sqref="L20:W20">
    <cfRule type="cellIs" dxfId="12" priority="20" operator="equal">
      <formula>0</formula>
    </cfRule>
  </conditionalFormatting>
  <conditionalFormatting sqref="P24:S25">
    <cfRule type="expression" dxfId="11" priority="18">
      <formula>$L$25=0</formula>
    </cfRule>
  </conditionalFormatting>
  <conditionalFormatting sqref="P21:W21">
    <cfRule type="expression" dxfId="10" priority="22">
      <formula>$A$21=""</formula>
    </cfRule>
  </conditionalFormatting>
  <conditionalFormatting sqref="T22:W22">
    <cfRule type="expression" dxfId="9" priority="12">
      <formula>$T$22=0</formula>
    </cfRule>
  </conditionalFormatting>
  <conditionalFormatting sqref="T23:W23">
    <cfRule type="expression" dxfId="8" priority="11">
      <formula>$T$23=0</formula>
    </cfRule>
  </conditionalFormatting>
  <conditionalFormatting sqref="T24:W25">
    <cfRule type="cellIs" dxfId="7" priority="17" operator="equal">
      <formula>0</formula>
    </cfRule>
  </conditionalFormatting>
  <conditionalFormatting sqref="Z8:AO12">
    <cfRule type="notContainsBlanks" dxfId="6" priority="8">
      <formula>LEN(TRIM(Z8))&gt;0</formula>
    </cfRule>
  </conditionalFormatting>
  <conditionalFormatting sqref="AH80:AK80 AL80:AO81 AL83:AO83 AH83:AK84 AH86:AO87 AH89:AK89">
    <cfRule type="notContainsBlanks" dxfId="5" priority="2">
      <formula>LEN(TRIM(AH80))&gt;0</formula>
    </cfRule>
  </conditionalFormatting>
  <conditionalFormatting sqref="AI3:AO3 AJ4:AO4">
    <cfRule type="notContainsBlanks" dxfId="4" priority="9">
      <formula>LEN(TRIM(AI3))&gt;0</formula>
    </cfRule>
  </conditionalFormatting>
  <conditionalFormatting sqref="AL84">
    <cfRule type="cellIs" dxfId="3" priority="25" stopIfTrue="1" operator="equal">
      <formula>0</formula>
    </cfRule>
  </conditionalFormatting>
  <conditionalFormatting sqref="AL89">
    <cfRule type="cellIs" dxfId="2" priority="16" stopIfTrue="1" operator="equal">
      <formula>0</formula>
    </cfRule>
  </conditionalFormatting>
  <conditionalFormatting sqref="AR33">
    <cfRule type="expression" dxfId="1" priority="21">
      <formula>+AND($L$21&gt;0,$AR$33="OUI")</formula>
    </cfRule>
  </conditionalFormatting>
  <conditionalFormatting sqref="AR38">
    <cfRule type="expression" dxfId="0" priority="15">
      <formula>+AND($L$21&gt;0,$AR$33="OUI")</formula>
    </cfRule>
  </conditionalFormatting>
  <dataValidations count="11">
    <dataValidation type="list" allowBlank="1" showInputMessage="1" showErrorMessage="1" sqref="AR38:AS38" xr:uid="{71C24A27-C9C2-41AF-AE5F-5A3B84AC18FF}">
      <formula1>HR_HM</formula1>
    </dataValidation>
    <dataValidation type="list" allowBlank="1" showInputMessage="1" showErrorMessage="1" sqref="V87" xr:uid="{C39470FD-244E-48B4-ABF8-960C5CDC4754}">
      <formula1>"Congés pris payés ce mois :,Congés payés dans l'ICCP :"</formula1>
    </dataValidation>
    <dataValidation type="list" allowBlank="1" showInputMessage="1" showErrorMessage="1" sqref="B32:K32" xr:uid="{B20664C2-5B36-4249-82F0-26786E529BC7}">
      <formula1>"Prime de précarité 10% (CDD)"</formula1>
    </dataValidation>
    <dataValidation type="list" allowBlank="1" showInputMessage="1" showErrorMessage="1" sqref="AR14 AR33" xr:uid="{294E61E2-DC5F-4B98-9AAC-BCB6542EC85E}">
      <formula1>"NON,OUI"</formula1>
    </dataValidation>
    <dataValidation type="list" allowBlank="1" showInputMessage="1" showErrorMessage="1" sqref="X3:AC3" xr:uid="{A22B9721-865E-4D1E-BAAB-CC8C9644CAEF}">
      <formula1>$BJ$2:$BJ$13</formula1>
    </dataValidation>
    <dataValidation type="list" showInputMessage="1" showErrorMessage="1" sqref="AR8" xr:uid="{46892376-4F03-4D34-AA3F-2A58462B7C24}">
      <formula1>"NON,OUI"</formula1>
    </dataValidation>
    <dataValidation type="list" allowBlank="1" showInputMessage="1" showErrorMessage="1" sqref="AR3" xr:uid="{AA0FF030-0C07-4617-8F58-17BCC788F956}">
      <formula1>"Année Complète, Année Incomplète"</formula1>
    </dataValidation>
    <dataValidation operator="lessThanOrEqual" allowBlank="1" showErrorMessage="1" errorTitle="erreur plafond" error="Le bulletin n'est pas adapté pour les salaires suppérieurs à la première tranche du plafond de la CPAM soit 3377 €" sqref="P34 T33" xr:uid="{08BF9310-91A1-402E-8A10-C194E772ADB4}">
      <formula1>0</formula1>
      <formula2>0</formula2>
    </dataValidation>
    <dataValidation type="list" allowBlank="1" showInputMessage="1" showErrorMessage="1" sqref="F77:H77" xr:uid="{FFF3938B-0A33-44E2-9A4D-81CCC9F067F6}">
      <formula1>"Chèque,Espèce,Virement,Pajemploi +,CESU"</formula1>
    </dataValidation>
    <dataValidation type="list" allowBlank="1" showInputMessage="1" showErrorMessage="1" sqref="F79:H79" xr:uid="{8888BCA2-12F6-4E0A-AEC0-B2DAB44227BC}">
      <formula1>"' ,Chèque,Espèce,Virement,Pajemploi +,CESU"</formula1>
    </dataValidation>
    <dataValidation allowBlank="1" showInputMessage="1" showErrorMessage="1" prompt="Vous pouvez choisir avec la petite flèche à droite &quot;Salaires heures normales réelles &quot;" sqref="A19:K19" xr:uid="{FD453692-4B6F-484B-854A-133FB3FF3CEA}"/>
  </dataValidations>
  <pageMargins left="0.7" right="0.7" top="0.75" bottom="0.75" header="0.3" footer="0.3"/>
  <pageSetup paperSize="9" orientation="portrait" horizontalDpi="0" verticalDpi="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A05F9-93EF-47CC-A9BF-136B491AD73E}">
  <dimension ref="A1:M137"/>
  <sheetViews>
    <sheetView zoomScale="90" zoomScaleNormal="90" workbookViewId="0">
      <selection activeCell="A4" sqref="A4"/>
    </sheetView>
  </sheetViews>
  <sheetFormatPr baseColWidth="10" defaultRowHeight="15" x14ac:dyDescent="0.25"/>
  <cols>
    <col min="1" max="1" width="32.28515625" customWidth="1"/>
    <col min="2" max="2" width="15.28515625" customWidth="1"/>
    <col min="3" max="13" width="14.85546875" customWidth="1"/>
  </cols>
  <sheetData>
    <row r="1" spans="1:13" ht="18" x14ac:dyDescent="0.25">
      <c r="A1" s="135" t="s">
        <v>244</v>
      </c>
    </row>
    <row r="3" spans="1:13" x14ac:dyDescent="0.25">
      <c r="A3" s="136" t="s">
        <v>181</v>
      </c>
    </row>
    <row r="5" spans="1:13" x14ac:dyDescent="0.25">
      <c r="B5" s="137" t="s">
        <v>182</v>
      </c>
      <c r="C5" s="138" t="s">
        <v>183</v>
      </c>
      <c r="D5" s="137" t="s">
        <v>184</v>
      </c>
      <c r="E5" s="138" t="s">
        <v>185</v>
      </c>
      <c r="F5" s="137" t="s">
        <v>186</v>
      </c>
      <c r="G5" s="138" t="s">
        <v>187</v>
      </c>
      <c r="H5" s="137" t="s">
        <v>188</v>
      </c>
      <c r="I5" s="138" t="s">
        <v>189</v>
      </c>
      <c r="J5" s="137" t="s">
        <v>190</v>
      </c>
      <c r="K5" s="138" t="s">
        <v>191</v>
      </c>
      <c r="L5" s="137" t="s">
        <v>192</v>
      </c>
      <c r="M5" s="139" t="s">
        <v>193</v>
      </c>
    </row>
    <row r="6" spans="1:13" x14ac:dyDescent="0.25">
      <c r="A6" s="140"/>
      <c r="B6" s="141" cm="1">
        <f t="array" ref="B6">+DATE('Bulletin simple'!X4:X4,1,1)</f>
        <v>46023</v>
      </c>
      <c r="C6" s="141">
        <f t="shared" ref="C6:M6" si="0">+DATE(YEAR(B6),MONTH(B6)+1,1)</f>
        <v>46054</v>
      </c>
      <c r="D6" s="141">
        <f t="shared" si="0"/>
        <v>46082</v>
      </c>
      <c r="E6" s="141">
        <f t="shared" si="0"/>
        <v>46113</v>
      </c>
      <c r="F6" s="141">
        <f t="shared" si="0"/>
        <v>46143</v>
      </c>
      <c r="G6" s="141">
        <f t="shared" si="0"/>
        <v>46174</v>
      </c>
      <c r="H6" s="141">
        <f t="shared" si="0"/>
        <v>46204</v>
      </c>
      <c r="I6" s="141">
        <f t="shared" si="0"/>
        <v>46235</v>
      </c>
      <c r="J6" s="141">
        <f t="shared" si="0"/>
        <v>46266</v>
      </c>
      <c r="K6" s="141">
        <f t="shared" si="0"/>
        <v>46296</v>
      </c>
      <c r="L6" s="141">
        <f t="shared" si="0"/>
        <v>46327</v>
      </c>
      <c r="M6" s="141">
        <f t="shared" si="0"/>
        <v>46357</v>
      </c>
    </row>
    <row r="7" spans="1:13" ht="30" x14ac:dyDescent="0.25">
      <c r="B7" s="142" t="s">
        <v>115</v>
      </c>
      <c r="C7" s="142" t="s">
        <v>115</v>
      </c>
      <c r="D7" s="142" t="s">
        <v>115</v>
      </c>
      <c r="E7" s="142" t="s">
        <v>115</v>
      </c>
      <c r="F7" s="142" t="s">
        <v>115</v>
      </c>
      <c r="G7" s="142" t="s">
        <v>115</v>
      </c>
      <c r="H7" s="142" t="s">
        <v>115</v>
      </c>
      <c r="I7" s="142" t="s">
        <v>115</v>
      </c>
      <c r="J7" s="142" t="s">
        <v>115</v>
      </c>
      <c r="K7" s="142" t="s">
        <v>115</v>
      </c>
      <c r="L7" s="142" t="s">
        <v>115</v>
      </c>
      <c r="M7" s="142" t="s">
        <v>115</v>
      </c>
    </row>
    <row r="8" spans="1:13" x14ac:dyDescent="0.25">
      <c r="B8" s="10" t="s">
        <v>23</v>
      </c>
      <c r="C8" s="10" t="s">
        <v>23</v>
      </c>
      <c r="D8" s="10" t="s">
        <v>23</v>
      </c>
      <c r="E8" s="10" t="s">
        <v>23</v>
      </c>
      <c r="F8" s="10" t="s">
        <v>23</v>
      </c>
      <c r="G8" s="10" t="s">
        <v>23</v>
      </c>
      <c r="H8" s="10" t="s">
        <v>23</v>
      </c>
      <c r="I8" s="10" t="s">
        <v>23</v>
      </c>
      <c r="J8" s="10" t="s">
        <v>23</v>
      </c>
      <c r="K8" s="10" t="s">
        <v>23</v>
      </c>
      <c r="L8" s="10" t="s">
        <v>23</v>
      </c>
      <c r="M8" s="10" t="s">
        <v>23</v>
      </c>
    </row>
    <row r="9" spans="1:13" x14ac:dyDescent="0.25">
      <c r="A9" s="4" t="s">
        <v>44</v>
      </c>
      <c r="B9" s="143"/>
      <c r="C9" s="143"/>
      <c r="D9" s="143"/>
      <c r="E9" s="143"/>
      <c r="F9" s="143"/>
      <c r="G9" s="143"/>
      <c r="H9" s="143"/>
      <c r="I9" s="143"/>
      <c r="J9" s="143"/>
      <c r="K9" s="143"/>
      <c r="L9" s="143"/>
      <c r="M9" s="143"/>
    </row>
    <row r="10" spans="1:13" x14ac:dyDescent="0.25">
      <c r="A10" s="5" t="s">
        <v>45</v>
      </c>
      <c r="B10" s="210">
        <v>5.2200000000000003E-2</v>
      </c>
      <c r="C10" s="178">
        <f>+B10</f>
        <v>5.2200000000000003E-2</v>
      </c>
      <c r="D10" s="178">
        <f t="shared" ref="D10" si="1">+C10</f>
        <v>5.2200000000000003E-2</v>
      </c>
      <c r="E10" s="178">
        <f t="shared" ref="E10" si="2">+D10</f>
        <v>5.2200000000000003E-2</v>
      </c>
      <c r="F10" s="178">
        <f t="shared" ref="F10" si="3">+E10</f>
        <v>5.2200000000000003E-2</v>
      </c>
      <c r="G10" s="178">
        <f t="shared" ref="G10" si="4">+F10</f>
        <v>5.2200000000000003E-2</v>
      </c>
      <c r="H10" s="178">
        <f t="shared" ref="H10" si="5">+G10</f>
        <v>5.2200000000000003E-2</v>
      </c>
      <c r="I10" s="178">
        <f t="shared" ref="I10" si="6">+H10</f>
        <v>5.2200000000000003E-2</v>
      </c>
      <c r="J10" s="178">
        <f t="shared" ref="J10" si="7">+I10</f>
        <v>5.2200000000000003E-2</v>
      </c>
      <c r="K10" s="178">
        <f t="shared" ref="K10" si="8">+J10</f>
        <v>5.2200000000000003E-2</v>
      </c>
      <c r="L10" s="178">
        <f t="shared" ref="L10" si="9">+K10</f>
        <v>5.2200000000000003E-2</v>
      </c>
      <c r="M10" s="178">
        <f t="shared" ref="M10" si="10">+L10</f>
        <v>5.2200000000000003E-2</v>
      </c>
    </row>
    <row r="11" spans="1:13" x14ac:dyDescent="0.25">
      <c r="A11" s="5" t="s">
        <v>194</v>
      </c>
      <c r="B11" s="210">
        <v>1.04E-2</v>
      </c>
      <c r="C11" s="178">
        <f>+B11</f>
        <v>1.04E-2</v>
      </c>
      <c r="D11" s="178">
        <f t="shared" ref="D11:M11" si="11">+C11</f>
        <v>1.04E-2</v>
      </c>
      <c r="E11" s="178">
        <f t="shared" si="11"/>
        <v>1.04E-2</v>
      </c>
      <c r="F11" s="178">
        <f t="shared" si="11"/>
        <v>1.04E-2</v>
      </c>
      <c r="G11" s="178">
        <f t="shared" si="11"/>
        <v>1.04E-2</v>
      </c>
      <c r="H11" s="178">
        <f t="shared" si="11"/>
        <v>1.04E-2</v>
      </c>
      <c r="I11" s="178">
        <f t="shared" si="11"/>
        <v>1.04E-2</v>
      </c>
      <c r="J11" s="178">
        <f t="shared" si="11"/>
        <v>1.04E-2</v>
      </c>
      <c r="K11" s="178">
        <f t="shared" si="11"/>
        <v>1.04E-2</v>
      </c>
      <c r="L11" s="178">
        <f t="shared" si="11"/>
        <v>1.04E-2</v>
      </c>
      <c r="M11" s="178">
        <f t="shared" si="11"/>
        <v>1.04E-2</v>
      </c>
    </row>
    <row r="12" spans="1:13" x14ac:dyDescent="0.25">
      <c r="A12" s="5" t="s">
        <v>195</v>
      </c>
      <c r="B12" s="144"/>
      <c r="C12" s="144"/>
      <c r="D12" s="144"/>
      <c r="E12" s="144"/>
      <c r="F12" s="144"/>
      <c r="G12" s="144"/>
      <c r="H12" s="144"/>
      <c r="I12" s="144"/>
      <c r="J12" s="144"/>
      <c r="K12" s="144"/>
      <c r="L12" s="144"/>
      <c r="M12" s="144"/>
    </row>
    <row r="13" spans="1:13" x14ac:dyDescent="0.25">
      <c r="A13" s="6" t="s">
        <v>46</v>
      </c>
      <c r="B13" s="144"/>
      <c r="C13" s="144"/>
      <c r="D13" s="144"/>
      <c r="E13" s="144"/>
      <c r="F13" s="144"/>
      <c r="G13" s="144"/>
      <c r="H13" s="144"/>
      <c r="I13" s="144"/>
      <c r="J13" s="144"/>
      <c r="K13" s="144"/>
      <c r="L13" s="144"/>
      <c r="M13" s="144"/>
    </row>
    <row r="14" spans="1:13" x14ac:dyDescent="0.25">
      <c r="A14" s="6" t="s">
        <v>47</v>
      </c>
      <c r="B14" s="144"/>
      <c r="C14" s="144"/>
      <c r="D14" s="144"/>
      <c r="E14" s="144"/>
      <c r="F14" s="144"/>
      <c r="G14" s="144"/>
      <c r="H14" s="144"/>
      <c r="I14" s="144"/>
      <c r="J14" s="144"/>
      <c r="K14" s="144"/>
      <c r="L14" s="144"/>
      <c r="M14" s="144"/>
    </row>
    <row r="15" spans="1:13" x14ac:dyDescent="0.25">
      <c r="A15" s="5" t="s">
        <v>196</v>
      </c>
      <c r="B15" s="178">
        <v>5.5399999999999998E-2</v>
      </c>
      <c r="C15" s="178">
        <f t="shared" ref="C15:M23" si="12">+B15</f>
        <v>5.5399999999999998E-2</v>
      </c>
      <c r="D15" s="178">
        <f t="shared" si="12"/>
        <v>5.5399999999999998E-2</v>
      </c>
      <c r="E15" s="178">
        <f t="shared" si="12"/>
        <v>5.5399999999999998E-2</v>
      </c>
      <c r="F15" s="178">
        <f t="shared" si="12"/>
        <v>5.5399999999999998E-2</v>
      </c>
      <c r="G15" s="178">
        <f t="shared" si="12"/>
        <v>5.5399999999999998E-2</v>
      </c>
      <c r="H15" s="178">
        <f t="shared" si="12"/>
        <v>5.5399999999999998E-2</v>
      </c>
      <c r="I15" s="178">
        <f t="shared" si="12"/>
        <v>5.5399999999999998E-2</v>
      </c>
      <c r="J15" s="178">
        <f t="shared" si="12"/>
        <v>5.5399999999999998E-2</v>
      </c>
      <c r="K15" s="178">
        <f t="shared" si="12"/>
        <v>5.5399999999999998E-2</v>
      </c>
      <c r="L15" s="178">
        <f t="shared" si="12"/>
        <v>5.5399999999999998E-2</v>
      </c>
      <c r="M15" s="178">
        <f t="shared" si="12"/>
        <v>5.5399999999999998E-2</v>
      </c>
    </row>
    <row r="16" spans="1:13" x14ac:dyDescent="0.25">
      <c r="A16" s="5" t="s">
        <v>197</v>
      </c>
      <c r="B16" s="178">
        <v>0</v>
      </c>
      <c r="C16" s="178">
        <f t="shared" si="12"/>
        <v>0</v>
      </c>
      <c r="D16" s="178">
        <f t="shared" si="12"/>
        <v>0</v>
      </c>
      <c r="E16" s="178">
        <f t="shared" si="12"/>
        <v>0</v>
      </c>
      <c r="F16" s="178">
        <f t="shared" si="12"/>
        <v>0</v>
      </c>
      <c r="G16" s="178">
        <f t="shared" si="12"/>
        <v>0</v>
      </c>
      <c r="H16" s="178">
        <f t="shared" si="12"/>
        <v>0</v>
      </c>
      <c r="I16" s="178">
        <f t="shared" si="12"/>
        <v>0</v>
      </c>
      <c r="J16" s="178">
        <f t="shared" si="12"/>
        <v>0</v>
      </c>
      <c r="K16" s="178">
        <f t="shared" si="12"/>
        <v>0</v>
      </c>
      <c r="L16" s="178">
        <f t="shared" si="12"/>
        <v>0</v>
      </c>
      <c r="M16" s="178">
        <f t="shared" si="12"/>
        <v>0</v>
      </c>
    </row>
    <row r="17" spans="1:13" x14ac:dyDescent="0.25">
      <c r="A17" s="5" t="s">
        <v>198</v>
      </c>
      <c r="B17" s="178">
        <v>0</v>
      </c>
      <c r="C17" s="178">
        <f t="shared" si="12"/>
        <v>0</v>
      </c>
      <c r="D17" s="178">
        <f t="shared" si="12"/>
        <v>0</v>
      </c>
      <c r="E17" s="178">
        <f t="shared" si="12"/>
        <v>0</v>
      </c>
      <c r="F17" s="178">
        <f t="shared" si="12"/>
        <v>0</v>
      </c>
      <c r="G17" s="178">
        <f t="shared" si="12"/>
        <v>0</v>
      </c>
      <c r="H17" s="178">
        <f t="shared" si="12"/>
        <v>0</v>
      </c>
      <c r="I17" s="178">
        <f t="shared" si="12"/>
        <v>0</v>
      </c>
      <c r="J17" s="178">
        <f t="shared" si="12"/>
        <v>0</v>
      </c>
      <c r="K17" s="178">
        <f t="shared" si="12"/>
        <v>0</v>
      </c>
      <c r="L17" s="178">
        <f t="shared" si="12"/>
        <v>0</v>
      </c>
      <c r="M17" s="178">
        <f t="shared" si="12"/>
        <v>0</v>
      </c>
    </row>
    <row r="18" spans="1:13" x14ac:dyDescent="0.25">
      <c r="A18" s="5" t="s">
        <v>199</v>
      </c>
      <c r="B18" s="178">
        <v>0</v>
      </c>
      <c r="C18" s="178">
        <f t="shared" si="12"/>
        <v>0</v>
      </c>
      <c r="D18" s="178">
        <f t="shared" si="12"/>
        <v>0</v>
      </c>
      <c r="E18" s="178">
        <f t="shared" si="12"/>
        <v>0</v>
      </c>
      <c r="F18" s="178">
        <f t="shared" si="12"/>
        <v>0</v>
      </c>
      <c r="G18" s="178">
        <f t="shared" si="12"/>
        <v>0</v>
      </c>
      <c r="H18" s="178">
        <f t="shared" si="12"/>
        <v>0</v>
      </c>
      <c r="I18" s="178">
        <f t="shared" si="12"/>
        <v>0</v>
      </c>
      <c r="J18" s="178">
        <f t="shared" si="12"/>
        <v>0</v>
      </c>
      <c r="K18" s="178">
        <f t="shared" si="12"/>
        <v>0</v>
      </c>
      <c r="L18" s="178">
        <f t="shared" si="12"/>
        <v>0</v>
      </c>
      <c r="M18" s="178">
        <f t="shared" si="12"/>
        <v>0</v>
      </c>
    </row>
    <row r="19" spans="1:13" x14ac:dyDescent="0.25">
      <c r="A19" s="5" t="str">
        <f>+A17&amp;" - "&amp;A18</f>
        <v>Retraite IRCEM T1 - CEG T1</v>
      </c>
      <c r="B19" s="144">
        <f>SUM(B17:B18)</f>
        <v>0</v>
      </c>
      <c r="C19" s="144">
        <f t="shared" si="12"/>
        <v>0</v>
      </c>
      <c r="D19" s="144">
        <f t="shared" si="12"/>
        <v>0</v>
      </c>
      <c r="E19" s="144">
        <f t="shared" si="12"/>
        <v>0</v>
      </c>
      <c r="F19" s="144">
        <f t="shared" si="12"/>
        <v>0</v>
      </c>
      <c r="G19" s="144">
        <f t="shared" si="12"/>
        <v>0</v>
      </c>
      <c r="H19" s="144">
        <f t="shared" si="12"/>
        <v>0</v>
      </c>
      <c r="I19" s="144">
        <f t="shared" si="12"/>
        <v>0</v>
      </c>
      <c r="J19" s="144">
        <f t="shared" si="12"/>
        <v>0</v>
      </c>
      <c r="K19" s="144">
        <f t="shared" si="12"/>
        <v>0</v>
      </c>
      <c r="L19" s="144">
        <f t="shared" si="12"/>
        <v>0</v>
      </c>
      <c r="M19" s="144">
        <f t="shared" si="12"/>
        <v>0</v>
      </c>
    </row>
    <row r="20" spans="1:13" x14ac:dyDescent="0.25">
      <c r="A20" s="5" t="s">
        <v>200</v>
      </c>
      <c r="B20" s="178">
        <v>0</v>
      </c>
      <c r="C20" s="178">
        <f t="shared" si="12"/>
        <v>0</v>
      </c>
      <c r="D20" s="178">
        <f t="shared" si="12"/>
        <v>0</v>
      </c>
      <c r="E20" s="178">
        <f t="shared" si="12"/>
        <v>0</v>
      </c>
      <c r="F20" s="178">
        <f t="shared" si="12"/>
        <v>0</v>
      </c>
      <c r="G20" s="178">
        <f t="shared" si="12"/>
        <v>0</v>
      </c>
      <c r="H20" s="178">
        <f t="shared" si="12"/>
        <v>0</v>
      </c>
      <c r="I20" s="178">
        <f t="shared" si="12"/>
        <v>0</v>
      </c>
      <c r="J20" s="178">
        <f t="shared" si="12"/>
        <v>0</v>
      </c>
      <c r="K20" s="178">
        <f t="shared" si="12"/>
        <v>0</v>
      </c>
      <c r="L20" s="178">
        <f t="shared" si="12"/>
        <v>0</v>
      </c>
      <c r="M20" s="178">
        <f t="shared" si="12"/>
        <v>0</v>
      </c>
    </row>
    <row r="21" spans="1:13" x14ac:dyDescent="0.25">
      <c r="A21" s="5" t="s">
        <v>201</v>
      </c>
      <c r="B21" s="178">
        <v>0</v>
      </c>
      <c r="C21" s="178">
        <f t="shared" si="12"/>
        <v>0</v>
      </c>
      <c r="D21" s="178">
        <f t="shared" si="12"/>
        <v>0</v>
      </c>
      <c r="E21" s="178">
        <f t="shared" si="12"/>
        <v>0</v>
      </c>
      <c r="F21" s="178">
        <f t="shared" si="12"/>
        <v>0</v>
      </c>
      <c r="G21" s="178">
        <f t="shared" si="12"/>
        <v>0</v>
      </c>
      <c r="H21" s="178">
        <f t="shared" si="12"/>
        <v>0</v>
      </c>
      <c r="I21" s="178">
        <f t="shared" si="12"/>
        <v>0</v>
      </c>
      <c r="J21" s="178">
        <f t="shared" si="12"/>
        <v>0</v>
      </c>
      <c r="K21" s="178">
        <f t="shared" si="12"/>
        <v>0</v>
      </c>
      <c r="L21" s="178">
        <f t="shared" si="12"/>
        <v>0</v>
      </c>
      <c r="M21" s="178">
        <f t="shared" si="12"/>
        <v>0</v>
      </c>
    </row>
    <row r="22" spans="1:13" x14ac:dyDescent="0.25">
      <c r="A22" s="5" t="s">
        <v>202</v>
      </c>
      <c r="B22" s="178">
        <v>0</v>
      </c>
      <c r="C22" s="178">
        <f t="shared" si="12"/>
        <v>0</v>
      </c>
      <c r="D22" s="178">
        <f t="shared" si="12"/>
        <v>0</v>
      </c>
      <c r="E22" s="178">
        <f t="shared" si="12"/>
        <v>0</v>
      </c>
      <c r="F22" s="178">
        <f t="shared" si="12"/>
        <v>0</v>
      </c>
      <c r="G22" s="178">
        <f t="shared" si="12"/>
        <v>0</v>
      </c>
      <c r="H22" s="178">
        <f t="shared" si="12"/>
        <v>0</v>
      </c>
      <c r="I22" s="178">
        <f t="shared" si="12"/>
        <v>0</v>
      </c>
      <c r="J22" s="178">
        <f t="shared" si="12"/>
        <v>0</v>
      </c>
      <c r="K22" s="178">
        <f t="shared" si="12"/>
        <v>0</v>
      </c>
      <c r="L22" s="178">
        <f t="shared" si="12"/>
        <v>0</v>
      </c>
      <c r="M22" s="178">
        <f t="shared" si="12"/>
        <v>0</v>
      </c>
    </row>
    <row r="23" spans="1:13" x14ac:dyDescent="0.25">
      <c r="A23" s="5" t="str">
        <f>+A21&amp;" - "&amp;A22</f>
        <v>Retraite IRCEM T2 - CEG T2</v>
      </c>
      <c r="B23" s="144">
        <f>SUM(B21:B22)</f>
        <v>0</v>
      </c>
      <c r="C23" s="144">
        <f t="shared" si="12"/>
        <v>0</v>
      </c>
      <c r="D23" s="144">
        <f t="shared" si="12"/>
        <v>0</v>
      </c>
      <c r="E23" s="144">
        <f t="shared" si="12"/>
        <v>0</v>
      </c>
      <c r="F23" s="144">
        <f t="shared" si="12"/>
        <v>0</v>
      </c>
      <c r="G23" s="144">
        <f t="shared" si="12"/>
        <v>0</v>
      </c>
      <c r="H23" s="144">
        <f t="shared" si="12"/>
        <v>0</v>
      </c>
      <c r="I23" s="144">
        <f t="shared" si="12"/>
        <v>0</v>
      </c>
      <c r="J23" s="144">
        <f t="shared" si="12"/>
        <v>0</v>
      </c>
      <c r="K23" s="144">
        <f t="shared" si="12"/>
        <v>0</v>
      </c>
      <c r="L23" s="144">
        <f t="shared" si="12"/>
        <v>0</v>
      </c>
      <c r="M23" s="144">
        <f t="shared" si="12"/>
        <v>0</v>
      </c>
    </row>
    <row r="24" spans="1:13" x14ac:dyDescent="0.25">
      <c r="A24" s="6" t="s">
        <v>48</v>
      </c>
      <c r="B24" s="144"/>
      <c r="C24" s="144"/>
      <c r="D24" s="144"/>
      <c r="E24" s="144"/>
      <c r="F24" s="144"/>
      <c r="G24" s="144"/>
      <c r="H24" s="144"/>
      <c r="I24" s="144"/>
      <c r="J24" s="144"/>
      <c r="K24" s="144"/>
      <c r="L24" s="144"/>
      <c r="M24" s="144"/>
    </row>
    <row r="25" spans="1:13" x14ac:dyDescent="0.25">
      <c r="A25" s="5" t="s">
        <v>49</v>
      </c>
      <c r="B25" s="144"/>
      <c r="C25" s="144"/>
      <c r="D25" s="144"/>
      <c r="E25" s="144"/>
      <c r="F25" s="144"/>
      <c r="G25" s="144"/>
      <c r="H25" s="144"/>
      <c r="I25" s="144"/>
      <c r="J25" s="144"/>
      <c r="K25" s="144"/>
      <c r="L25" s="144"/>
      <c r="M25" s="144"/>
    </row>
    <row r="26" spans="1:13" x14ac:dyDescent="0.25">
      <c r="A26" s="6" t="s">
        <v>229</v>
      </c>
      <c r="B26" s="144"/>
      <c r="C26" s="144"/>
      <c r="D26" s="144"/>
      <c r="E26" s="144"/>
      <c r="F26" s="144"/>
      <c r="G26" s="144"/>
      <c r="H26" s="144"/>
      <c r="I26" s="144"/>
      <c r="J26" s="144"/>
      <c r="K26" s="144"/>
      <c r="L26" s="144"/>
      <c r="M26" s="144"/>
    </row>
    <row r="27" spans="1:13" x14ac:dyDescent="0.25">
      <c r="A27" s="6" t="s">
        <v>228</v>
      </c>
      <c r="B27" s="144"/>
      <c r="C27" s="144"/>
      <c r="D27" s="144"/>
      <c r="E27" s="144"/>
      <c r="F27" s="144"/>
      <c r="G27" s="144"/>
      <c r="H27" s="144"/>
      <c r="I27" s="144"/>
      <c r="J27" s="144"/>
      <c r="K27" s="144"/>
      <c r="L27" s="144"/>
      <c r="M27" s="144"/>
    </row>
    <row r="28" spans="1:13" x14ac:dyDescent="0.25">
      <c r="A28" s="7" t="s">
        <v>50</v>
      </c>
      <c r="B28" s="145"/>
      <c r="C28" s="145"/>
      <c r="D28" s="145"/>
      <c r="E28" s="145"/>
      <c r="F28" s="145"/>
      <c r="G28" s="145"/>
      <c r="H28" s="145"/>
      <c r="I28" s="145"/>
      <c r="J28" s="145"/>
      <c r="K28" s="145"/>
      <c r="L28" s="145"/>
      <c r="M28" s="145"/>
    </row>
    <row r="29" spans="1:13" x14ac:dyDescent="0.25">
      <c r="A29" s="7" t="s">
        <v>203</v>
      </c>
      <c r="B29" s="145"/>
      <c r="C29" s="145"/>
      <c r="D29" s="145"/>
      <c r="E29" s="145"/>
      <c r="F29" s="145"/>
      <c r="G29" s="145"/>
      <c r="H29" s="145"/>
      <c r="I29" s="145"/>
      <c r="J29" s="145"/>
      <c r="K29" s="145"/>
      <c r="L29" s="145"/>
      <c r="M29" s="145"/>
    </row>
    <row r="30" spans="1:13" x14ac:dyDescent="0.25">
      <c r="A30" s="1" t="s">
        <v>51</v>
      </c>
      <c r="B30" s="178">
        <v>0</v>
      </c>
      <c r="C30" s="178">
        <f>+B30</f>
        <v>0</v>
      </c>
      <c r="D30" s="178">
        <f t="shared" ref="D30:M33" si="13">+C30</f>
        <v>0</v>
      </c>
      <c r="E30" s="178">
        <f t="shared" si="13"/>
        <v>0</v>
      </c>
      <c r="F30" s="178">
        <f t="shared" si="13"/>
        <v>0</v>
      </c>
      <c r="G30" s="178">
        <f t="shared" si="13"/>
        <v>0</v>
      </c>
      <c r="H30" s="178">
        <f t="shared" si="13"/>
        <v>0</v>
      </c>
      <c r="I30" s="178">
        <f t="shared" si="13"/>
        <v>0</v>
      </c>
      <c r="J30" s="178">
        <f t="shared" si="13"/>
        <v>0</v>
      </c>
      <c r="K30" s="178">
        <f t="shared" si="13"/>
        <v>0</v>
      </c>
      <c r="L30" s="178">
        <f t="shared" si="13"/>
        <v>0</v>
      </c>
      <c r="M30" s="178">
        <f t="shared" si="13"/>
        <v>0</v>
      </c>
    </row>
    <row r="31" spans="1:13" x14ac:dyDescent="0.25">
      <c r="A31" s="1" t="s">
        <v>52</v>
      </c>
      <c r="B31" s="178">
        <v>0</v>
      </c>
      <c r="C31" s="178">
        <f>+B31</f>
        <v>0</v>
      </c>
      <c r="D31" s="178">
        <f t="shared" si="13"/>
        <v>0</v>
      </c>
      <c r="E31" s="178">
        <f t="shared" si="13"/>
        <v>0</v>
      </c>
      <c r="F31" s="178">
        <f t="shared" si="13"/>
        <v>0</v>
      </c>
      <c r="G31" s="178">
        <f t="shared" si="13"/>
        <v>0</v>
      </c>
      <c r="H31" s="178">
        <f t="shared" si="13"/>
        <v>0</v>
      </c>
      <c r="I31" s="178">
        <f t="shared" si="13"/>
        <v>0</v>
      </c>
      <c r="J31" s="178">
        <f t="shared" si="13"/>
        <v>0</v>
      </c>
      <c r="K31" s="178">
        <f t="shared" si="13"/>
        <v>0</v>
      </c>
      <c r="L31" s="178">
        <f t="shared" si="13"/>
        <v>0</v>
      </c>
      <c r="M31" s="178">
        <f t="shared" si="13"/>
        <v>0</v>
      </c>
    </row>
    <row r="32" spans="1:13" x14ac:dyDescent="0.25">
      <c r="A32" s="1" t="s">
        <v>53</v>
      </c>
      <c r="B32" s="178">
        <v>0</v>
      </c>
      <c r="C32" s="178">
        <f>+B32</f>
        <v>0</v>
      </c>
      <c r="D32" s="178">
        <f t="shared" si="13"/>
        <v>0</v>
      </c>
      <c r="E32" s="178">
        <f t="shared" si="13"/>
        <v>0</v>
      </c>
      <c r="F32" s="178">
        <f t="shared" si="13"/>
        <v>0</v>
      </c>
      <c r="G32" s="178">
        <f t="shared" si="13"/>
        <v>0</v>
      </c>
      <c r="H32" s="178">
        <f t="shared" si="13"/>
        <v>0</v>
      </c>
      <c r="I32" s="178">
        <f t="shared" si="13"/>
        <v>0</v>
      </c>
      <c r="J32" s="178">
        <f t="shared" si="13"/>
        <v>0</v>
      </c>
      <c r="K32" s="178">
        <f t="shared" si="13"/>
        <v>0</v>
      </c>
      <c r="L32" s="178">
        <f t="shared" si="13"/>
        <v>0</v>
      </c>
      <c r="M32" s="178">
        <f t="shared" si="13"/>
        <v>0</v>
      </c>
    </row>
    <row r="33" spans="1:13" x14ac:dyDescent="0.25">
      <c r="A33" s="8" t="s">
        <v>54</v>
      </c>
      <c r="B33" s="179">
        <v>0</v>
      </c>
      <c r="C33" s="179">
        <f>+B33</f>
        <v>0</v>
      </c>
      <c r="D33" s="179">
        <f t="shared" si="13"/>
        <v>0</v>
      </c>
      <c r="E33" s="179">
        <f t="shared" si="13"/>
        <v>0</v>
      </c>
      <c r="F33" s="179">
        <f t="shared" si="13"/>
        <v>0</v>
      </c>
      <c r="G33" s="179">
        <f t="shared" si="13"/>
        <v>0</v>
      </c>
      <c r="H33" s="179">
        <f t="shared" si="13"/>
        <v>0</v>
      </c>
      <c r="I33" s="179">
        <f t="shared" si="13"/>
        <v>0</v>
      </c>
      <c r="J33" s="179">
        <f t="shared" si="13"/>
        <v>0</v>
      </c>
      <c r="K33" s="179">
        <f t="shared" si="13"/>
        <v>0</v>
      </c>
      <c r="L33" s="179">
        <f t="shared" si="13"/>
        <v>0</v>
      </c>
      <c r="M33" s="179">
        <f t="shared" si="13"/>
        <v>0</v>
      </c>
    </row>
    <row r="34" spans="1:13" x14ac:dyDescent="0.25">
      <c r="B34" s="146">
        <f>SUM(B9:B32)</f>
        <v>0.11799999999999999</v>
      </c>
      <c r="C34" s="146">
        <f>SUM(C9:C32)</f>
        <v>0.11799999999999999</v>
      </c>
      <c r="D34" s="146">
        <f t="shared" ref="D34:M34" si="14">SUM(D9:D32)</f>
        <v>0.11799999999999999</v>
      </c>
      <c r="E34" s="146">
        <f t="shared" si="14"/>
        <v>0.11799999999999999</v>
      </c>
      <c r="F34" s="146">
        <f t="shared" si="14"/>
        <v>0.11799999999999999</v>
      </c>
      <c r="G34" s="146">
        <f t="shared" si="14"/>
        <v>0.11799999999999999</v>
      </c>
      <c r="H34" s="146">
        <f t="shared" si="14"/>
        <v>0.11799999999999999</v>
      </c>
      <c r="I34" s="146">
        <f t="shared" si="14"/>
        <v>0.11799999999999999</v>
      </c>
      <c r="J34" s="146">
        <f t="shared" si="14"/>
        <v>0.11799999999999999</v>
      </c>
      <c r="K34" s="146">
        <f t="shared" si="14"/>
        <v>0.11799999999999999</v>
      </c>
      <c r="L34" s="146">
        <f t="shared" si="14"/>
        <v>0.11799999999999999</v>
      </c>
      <c r="M34" s="146">
        <f t="shared" si="14"/>
        <v>0.11799999999999999</v>
      </c>
    </row>
    <row r="35" spans="1:13" x14ac:dyDescent="0.25">
      <c r="C35" s="147"/>
      <c r="E35" s="147"/>
      <c r="F35" s="147"/>
      <c r="H35" s="147"/>
      <c r="J35" s="147"/>
      <c r="L35" s="147"/>
    </row>
    <row r="36" spans="1:13" x14ac:dyDescent="0.25">
      <c r="A36" s="136" t="s">
        <v>204</v>
      </c>
      <c r="C36" s="147"/>
      <c r="E36" s="147"/>
      <c r="G36" s="147"/>
      <c r="I36" s="147"/>
      <c r="K36" s="147"/>
      <c r="M36" s="147"/>
    </row>
    <row r="37" spans="1:13" x14ac:dyDescent="0.25">
      <c r="C37" s="147"/>
      <c r="E37" s="147"/>
      <c r="G37" s="147"/>
      <c r="I37" s="147"/>
      <c r="K37" s="147"/>
      <c r="M37" s="147"/>
    </row>
    <row r="38" spans="1:13" x14ac:dyDescent="0.25">
      <c r="B38" s="137" t="s">
        <v>182</v>
      </c>
      <c r="C38" s="138" t="s">
        <v>183</v>
      </c>
      <c r="D38" s="137" t="s">
        <v>184</v>
      </c>
      <c r="E38" s="138" t="s">
        <v>185</v>
      </c>
      <c r="F38" s="137" t="s">
        <v>186</v>
      </c>
      <c r="G38" s="138" t="s">
        <v>187</v>
      </c>
      <c r="H38" s="137" t="s">
        <v>188</v>
      </c>
      <c r="I38" s="138" t="s">
        <v>189</v>
      </c>
      <c r="J38" s="137" t="s">
        <v>190</v>
      </c>
      <c r="K38" s="138" t="s">
        <v>191</v>
      </c>
      <c r="L38" s="137" t="s">
        <v>192</v>
      </c>
      <c r="M38" s="139" t="s">
        <v>193</v>
      </c>
    </row>
    <row r="39" spans="1:13" x14ac:dyDescent="0.25">
      <c r="B39" s="141">
        <f>+B6</f>
        <v>46023</v>
      </c>
      <c r="C39" s="141">
        <f t="shared" ref="C39:M39" si="15">+C6</f>
        <v>46054</v>
      </c>
      <c r="D39" s="141">
        <f t="shared" si="15"/>
        <v>46082</v>
      </c>
      <c r="E39" s="141">
        <f t="shared" si="15"/>
        <v>46113</v>
      </c>
      <c r="F39" s="141">
        <f t="shared" si="15"/>
        <v>46143</v>
      </c>
      <c r="G39" s="141">
        <f t="shared" si="15"/>
        <v>46174</v>
      </c>
      <c r="H39" s="141">
        <f t="shared" si="15"/>
        <v>46204</v>
      </c>
      <c r="I39" s="141">
        <f t="shared" si="15"/>
        <v>46235</v>
      </c>
      <c r="J39" s="141">
        <f t="shared" si="15"/>
        <v>46266</v>
      </c>
      <c r="K39" s="141">
        <f t="shared" si="15"/>
        <v>46296</v>
      </c>
      <c r="L39" s="141">
        <f t="shared" si="15"/>
        <v>46327</v>
      </c>
      <c r="M39" s="141">
        <f t="shared" si="15"/>
        <v>46357</v>
      </c>
    </row>
    <row r="40" spans="1:13" ht="30" x14ac:dyDescent="0.25">
      <c r="B40" s="148" t="s">
        <v>116</v>
      </c>
      <c r="C40" s="148" t="s">
        <v>116</v>
      </c>
      <c r="D40" s="148" t="s">
        <v>116</v>
      </c>
      <c r="E40" s="148" t="s">
        <v>116</v>
      </c>
      <c r="F40" s="148" t="s">
        <v>116</v>
      </c>
      <c r="G40" s="148" t="s">
        <v>116</v>
      </c>
      <c r="H40" s="148" t="s">
        <v>116</v>
      </c>
      <c r="I40" s="148" t="s">
        <v>116</v>
      </c>
      <c r="J40" s="148" t="s">
        <v>116</v>
      </c>
      <c r="K40" s="148" t="s">
        <v>116</v>
      </c>
      <c r="L40" s="148" t="s">
        <v>116</v>
      </c>
      <c r="M40" s="148" t="s">
        <v>116</v>
      </c>
    </row>
    <row r="41" spans="1:13" x14ac:dyDescent="0.25">
      <c r="B41" s="9" t="s">
        <v>23</v>
      </c>
      <c r="C41" s="9" t="s">
        <v>23</v>
      </c>
      <c r="D41" s="9" t="s">
        <v>23</v>
      </c>
      <c r="E41" s="9" t="s">
        <v>23</v>
      </c>
      <c r="F41" s="9" t="s">
        <v>23</v>
      </c>
      <c r="G41" s="9" t="s">
        <v>23</v>
      </c>
      <c r="H41" s="9" t="s">
        <v>23</v>
      </c>
      <c r="I41" s="9" t="s">
        <v>23</v>
      </c>
      <c r="J41" s="9" t="s">
        <v>23</v>
      </c>
      <c r="K41" s="9" t="s">
        <v>23</v>
      </c>
      <c r="L41" s="9" t="s">
        <v>23</v>
      </c>
      <c r="M41" s="9" t="s">
        <v>23</v>
      </c>
    </row>
    <row r="42" spans="1:13" x14ac:dyDescent="0.25">
      <c r="A42" s="4" t="str">
        <f t="shared" ref="A42:A60" si="16">A9</f>
        <v>Santé :</v>
      </c>
      <c r="B42" s="149"/>
      <c r="C42" s="149"/>
      <c r="D42" s="149"/>
      <c r="E42" s="149"/>
      <c r="F42" s="149"/>
      <c r="G42" s="149"/>
      <c r="H42" s="149"/>
      <c r="I42" s="149"/>
      <c r="J42" s="149"/>
      <c r="K42" s="149"/>
      <c r="L42" s="149"/>
      <c r="M42" s="149"/>
    </row>
    <row r="43" spans="1:13" x14ac:dyDescent="0.25">
      <c r="A43" s="5" t="str">
        <f t="shared" si="16"/>
        <v>Séc. Soc. Maladie invalidité</v>
      </c>
      <c r="B43" s="180">
        <v>5.8000000000000003E-2</v>
      </c>
      <c r="C43" s="180">
        <f>+B43</f>
        <v>5.8000000000000003E-2</v>
      </c>
      <c r="D43" s="180">
        <f t="shared" ref="D43:M46" si="17">+C43</f>
        <v>5.8000000000000003E-2</v>
      </c>
      <c r="E43" s="180">
        <f t="shared" si="17"/>
        <v>5.8000000000000003E-2</v>
      </c>
      <c r="F43" s="180">
        <f t="shared" si="17"/>
        <v>5.8000000000000003E-2</v>
      </c>
      <c r="G43" s="180">
        <f t="shared" si="17"/>
        <v>5.8000000000000003E-2</v>
      </c>
      <c r="H43" s="180">
        <f t="shared" si="17"/>
        <v>5.8000000000000003E-2</v>
      </c>
      <c r="I43" s="180">
        <f t="shared" si="17"/>
        <v>5.8000000000000003E-2</v>
      </c>
      <c r="J43" s="180">
        <f t="shared" si="17"/>
        <v>5.8000000000000003E-2</v>
      </c>
      <c r="K43" s="180">
        <f t="shared" si="17"/>
        <v>5.8000000000000003E-2</v>
      </c>
      <c r="L43" s="180">
        <f t="shared" si="17"/>
        <v>5.8000000000000003E-2</v>
      </c>
      <c r="M43" s="180">
        <f t="shared" si="17"/>
        <v>5.8000000000000003E-2</v>
      </c>
    </row>
    <row r="44" spans="1:13" x14ac:dyDescent="0.25">
      <c r="A44" s="5" t="str">
        <f t="shared" si="16"/>
        <v>Prévoyance T1</v>
      </c>
      <c r="B44" s="180">
        <v>2.4500000000000001E-2</v>
      </c>
      <c r="C44" s="180">
        <f>+B44</f>
        <v>2.4500000000000001E-2</v>
      </c>
      <c r="D44" s="180">
        <f t="shared" si="17"/>
        <v>2.4500000000000001E-2</v>
      </c>
      <c r="E44" s="180">
        <f t="shared" si="17"/>
        <v>2.4500000000000001E-2</v>
      </c>
      <c r="F44" s="180">
        <f t="shared" si="17"/>
        <v>2.4500000000000001E-2</v>
      </c>
      <c r="G44" s="180">
        <f t="shared" si="17"/>
        <v>2.4500000000000001E-2</v>
      </c>
      <c r="H44" s="180">
        <f t="shared" si="17"/>
        <v>2.4500000000000001E-2</v>
      </c>
      <c r="I44" s="180">
        <f t="shared" si="17"/>
        <v>2.4500000000000001E-2</v>
      </c>
      <c r="J44" s="180">
        <f t="shared" si="17"/>
        <v>2.4500000000000001E-2</v>
      </c>
      <c r="K44" s="180">
        <f t="shared" si="17"/>
        <v>2.4500000000000001E-2</v>
      </c>
      <c r="L44" s="180">
        <f t="shared" si="17"/>
        <v>2.4500000000000001E-2</v>
      </c>
      <c r="M44" s="180">
        <f t="shared" si="17"/>
        <v>2.4500000000000001E-2</v>
      </c>
    </row>
    <row r="45" spans="1:13" x14ac:dyDescent="0.25">
      <c r="A45" s="5" t="str">
        <f t="shared" si="16"/>
        <v>Prévoyance T2</v>
      </c>
      <c r="B45" s="180">
        <v>1.2500000000000001E-2</v>
      </c>
      <c r="C45" s="180">
        <f>+B45</f>
        <v>1.2500000000000001E-2</v>
      </c>
      <c r="D45" s="180">
        <f t="shared" si="17"/>
        <v>1.2500000000000001E-2</v>
      </c>
      <c r="E45" s="180">
        <f t="shared" si="17"/>
        <v>1.2500000000000001E-2</v>
      </c>
      <c r="F45" s="180">
        <f t="shared" si="17"/>
        <v>1.2500000000000001E-2</v>
      </c>
      <c r="G45" s="180">
        <f t="shared" si="17"/>
        <v>1.2500000000000001E-2</v>
      </c>
      <c r="H45" s="180">
        <f t="shared" si="17"/>
        <v>1.2500000000000001E-2</v>
      </c>
      <c r="I45" s="180">
        <f t="shared" si="17"/>
        <v>1.2500000000000001E-2</v>
      </c>
      <c r="J45" s="180">
        <f t="shared" si="17"/>
        <v>1.2500000000000001E-2</v>
      </c>
      <c r="K45" s="180">
        <f t="shared" si="17"/>
        <v>1.2500000000000001E-2</v>
      </c>
      <c r="L45" s="180">
        <f t="shared" si="17"/>
        <v>1.2500000000000001E-2</v>
      </c>
      <c r="M45" s="180">
        <f t="shared" si="17"/>
        <v>1.2500000000000001E-2</v>
      </c>
    </row>
    <row r="46" spans="1:13" x14ac:dyDescent="0.25">
      <c r="A46" s="6" t="str">
        <f t="shared" si="16"/>
        <v>Accident du travail :</v>
      </c>
      <c r="B46" s="180">
        <v>9.1000000000000004E-3</v>
      </c>
      <c r="C46" s="180">
        <f>+B46</f>
        <v>9.1000000000000004E-3</v>
      </c>
      <c r="D46" s="180">
        <f t="shared" si="17"/>
        <v>9.1000000000000004E-3</v>
      </c>
      <c r="E46" s="180">
        <f t="shared" si="17"/>
        <v>9.1000000000000004E-3</v>
      </c>
      <c r="F46" s="180">
        <f>+E46</f>
        <v>9.1000000000000004E-3</v>
      </c>
      <c r="G46" s="180">
        <f t="shared" si="17"/>
        <v>9.1000000000000004E-3</v>
      </c>
      <c r="H46" s="180">
        <f t="shared" si="17"/>
        <v>9.1000000000000004E-3</v>
      </c>
      <c r="I46" s="180">
        <f t="shared" si="17"/>
        <v>9.1000000000000004E-3</v>
      </c>
      <c r="J46" s="180">
        <f t="shared" si="17"/>
        <v>9.1000000000000004E-3</v>
      </c>
      <c r="K46" s="180">
        <f t="shared" si="17"/>
        <v>9.1000000000000004E-3</v>
      </c>
      <c r="L46" s="180">
        <f t="shared" si="17"/>
        <v>9.1000000000000004E-3</v>
      </c>
      <c r="M46" s="180">
        <f t="shared" si="17"/>
        <v>9.1000000000000004E-3</v>
      </c>
    </row>
    <row r="47" spans="1:13" x14ac:dyDescent="0.25">
      <c r="A47" s="6" t="str">
        <f t="shared" si="16"/>
        <v>Retraite :</v>
      </c>
      <c r="B47" s="150"/>
      <c r="C47" s="150"/>
      <c r="D47" s="150"/>
      <c r="E47" s="150"/>
      <c r="F47" s="150"/>
      <c r="G47" s="150"/>
      <c r="H47" s="150"/>
      <c r="I47" s="150"/>
      <c r="J47" s="150"/>
      <c r="K47" s="150"/>
      <c r="L47" s="150"/>
      <c r="M47" s="150"/>
    </row>
    <row r="48" spans="1:13" x14ac:dyDescent="0.25">
      <c r="A48" s="5" t="str">
        <f t="shared" si="16"/>
        <v>Retraite SS T1</v>
      </c>
      <c r="B48" s="180">
        <v>9.9000000000000005E-2</v>
      </c>
      <c r="C48" s="180">
        <f t="shared" ref="C48:M56" si="18">+B48</f>
        <v>9.9000000000000005E-2</v>
      </c>
      <c r="D48" s="180">
        <f t="shared" si="18"/>
        <v>9.9000000000000005E-2</v>
      </c>
      <c r="E48" s="180">
        <f t="shared" si="18"/>
        <v>9.9000000000000005E-2</v>
      </c>
      <c r="F48" s="180">
        <f t="shared" si="18"/>
        <v>9.9000000000000005E-2</v>
      </c>
      <c r="G48" s="180">
        <f t="shared" si="18"/>
        <v>9.9000000000000005E-2</v>
      </c>
      <c r="H48" s="180">
        <f t="shared" si="18"/>
        <v>9.9000000000000005E-2</v>
      </c>
      <c r="I48" s="180">
        <f t="shared" si="18"/>
        <v>9.9000000000000005E-2</v>
      </c>
      <c r="J48" s="180">
        <f t="shared" si="18"/>
        <v>9.9000000000000005E-2</v>
      </c>
      <c r="K48" s="180">
        <f t="shared" si="18"/>
        <v>9.9000000000000005E-2</v>
      </c>
      <c r="L48" s="180">
        <f t="shared" si="18"/>
        <v>9.9000000000000005E-2</v>
      </c>
      <c r="M48" s="180">
        <f t="shared" si="18"/>
        <v>9.9000000000000005E-2</v>
      </c>
    </row>
    <row r="49" spans="1:13" x14ac:dyDescent="0.25">
      <c r="A49" s="5" t="str">
        <f t="shared" si="16"/>
        <v>Retraite SS Totalité</v>
      </c>
      <c r="B49" s="180">
        <v>0</v>
      </c>
      <c r="C49" s="180">
        <f t="shared" si="18"/>
        <v>0</v>
      </c>
      <c r="D49" s="180">
        <f t="shared" si="18"/>
        <v>0</v>
      </c>
      <c r="E49" s="180">
        <f t="shared" si="18"/>
        <v>0</v>
      </c>
      <c r="F49" s="180">
        <f t="shared" si="18"/>
        <v>0</v>
      </c>
      <c r="G49" s="180">
        <f t="shared" si="18"/>
        <v>0</v>
      </c>
      <c r="H49" s="180">
        <f t="shared" si="18"/>
        <v>0</v>
      </c>
      <c r="I49" s="180">
        <f t="shared" si="18"/>
        <v>0</v>
      </c>
      <c r="J49" s="180">
        <f t="shared" si="18"/>
        <v>0</v>
      </c>
      <c r="K49" s="180">
        <f t="shared" si="18"/>
        <v>0</v>
      </c>
      <c r="L49" s="180">
        <f t="shared" si="18"/>
        <v>0</v>
      </c>
      <c r="M49" s="180">
        <f t="shared" si="18"/>
        <v>0</v>
      </c>
    </row>
    <row r="50" spans="1:13" x14ac:dyDescent="0.25">
      <c r="A50" s="5" t="str">
        <f t="shared" si="16"/>
        <v>Retraite IRCEM T1</v>
      </c>
      <c r="B50" s="180">
        <v>0</v>
      </c>
      <c r="C50" s="180">
        <f t="shared" si="18"/>
        <v>0</v>
      </c>
      <c r="D50" s="180">
        <f t="shared" si="18"/>
        <v>0</v>
      </c>
      <c r="E50" s="180">
        <f t="shared" si="18"/>
        <v>0</v>
      </c>
      <c r="F50" s="180">
        <f t="shared" si="18"/>
        <v>0</v>
      </c>
      <c r="G50" s="180">
        <f t="shared" si="18"/>
        <v>0</v>
      </c>
      <c r="H50" s="180">
        <f t="shared" si="18"/>
        <v>0</v>
      </c>
      <c r="I50" s="180">
        <f t="shared" si="18"/>
        <v>0</v>
      </c>
      <c r="J50" s="180">
        <f t="shared" si="18"/>
        <v>0</v>
      </c>
      <c r="K50" s="180">
        <f t="shared" si="18"/>
        <v>0</v>
      </c>
      <c r="L50" s="180">
        <f t="shared" si="18"/>
        <v>0</v>
      </c>
      <c r="M50" s="180">
        <f t="shared" si="18"/>
        <v>0</v>
      </c>
    </row>
    <row r="51" spans="1:13" x14ac:dyDescent="0.25">
      <c r="A51" s="5" t="str">
        <f t="shared" si="16"/>
        <v>CEG T1</v>
      </c>
      <c r="B51" s="180">
        <v>0</v>
      </c>
      <c r="C51" s="180">
        <f t="shared" si="18"/>
        <v>0</v>
      </c>
      <c r="D51" s="180">
        <f t="shared" si="18"/>
        <v>0</v>
      </c>
      <c r="E51" s="180">
        <f t="shared" si="18"/>
        <v>0</v>
      </c>
      <c r="F51" s="180">
        <f t="shared" si="18"/>
        <v>0</v>
      </c>
      <c r="G51" s="180">
        <f t="shared" si="18"/>
        <v>0</v>
      </c>
      <c r="H51" s="180">
        <f t="shared" si="18"/>
        <v>0</v>
      </c>
      <c r="I51" s="180">
        <f t="shared" si="18"/>
        <v>0</v>
      </c>
      <c r="J51" s="180">
        <f t="shared" si="18"/>
        <v>0</v>
      </c>
      <c r="K51" s="180">
        <f t="shared" si="18"/>
        <v>0</v>
      </c>
      <c r="L51" s="180">
        <f t="shared" si="18"/>
        <v>0</v>
      </c>
      <c r="M51" s="180">
        <f t="shared" si="18"/>
        <v>0</v>
      </c>
    </row>
    <row r="52" spans="1:13" x14ac:dyDescent="0.25">
      <c r="A52" s="5" t="str">
        <f t="shared" si="16"/>
        <v>Retraite IRCEM T1 - CEG T1</v>
      </c>
      <c r="B52" s="150">
        <f>+B51+B50</f>
        <v>0</v>
      </c>
      <c r="C52" s="150">
        <f t="shared" si="18"/>
        <v>0</v>
      </c>
      <c r="D52" s="150">
        <f t="shared" si="18"/>
        <v>0</v>
      </c>
      <c r="E52" s="150">
        <f t="shared" si="18"/>
        <v>0</v>
      </c>
      <c r="F52" s="150">
        <f t="shared" si="18"/>
        <v>0</v>
      </c>
      <c r="G52" s="150">
        <f t="shared" si="18"/>
        <v>0</v>
      </c>
      <c r="H52" s="150">
        <f t="shared" si="18"/>
        <v>0</v>
      </c>
      <c r="I52" s="150">
        <f t="shared" si="18"/>
        <v>0</v>
      </c>
      <c r="J52" s="150">
        <f t="shared" si="18"/>
        <v>0</v>
      </c>
      <c r="K52" s="150">
        <f t="shared" si="18"/>
        <v>0</v>
      </c>
      <c r="L52" s="150">
        <f t="shared" si="18"/>
        <v>0</v>
      </c>
      <c r="M52" s="150">
        <f t="shared" si="18"/>
        <v>0</v>
      </c>
    </row>
    <row r="53" spans="1:13" x14ac:dyDescent="0.25">
      <c r="A53" s="5" t="str">
        <f t="shared" si="16"/>
        <v>CET si plafond SS atteint</v>
      </c>
      <c r="B53" s="180">
        <v>0</v>
      </c>
      <c r="C53" s="180">
        <f t="shared" si="18"/>
        <v>0</v>
      </c>
      <c r="D53" s="180">
        <f t="shared" si="18"/>
        <v>0</v>
      </c>
      <c r="E53" s="180">
        <f t="shared" si="18"/>
        <v>0</v>
      </c>
      <c r="F53" s="180">
        <f t="shared" si="18"/>
        <v>0</v>
      </c>
      <c r="G53" s="180">
        <f t="shared" si="18"/>
        <v>0</v>
      </c>
      <c r="H53" s="180">
        <f t="shared" si="18"/>
        <v>0</v>
      </c>
      <c r="I53" s="180">
        <f t="shared" si="18"/>
        <v>0</v>
      </c>
      <c r="J53" s="180">
        <f t="shared" si="18"/>
        <v>0</v>
      </c>
      <c r="K53" s="180">
        <f t="shared" si="18"/>
        <v>0</v>
      </c>
      <c r="L53" s="180">
        <f t="shared" si="18"/>
        <v>0</v>
      </c>
      <c r="M53" s="180">
        <f t="shared" si="18"/>
        <v>0</v>
      </c>
    </row>
    <row r="54" spans="1:13" x14ac:dyDescent="0.25">
      <c r="A54" s="5" t="str">
        <f t="shared" si="16"/>
        <v>Retraite IRCEM T2</v>
      </c>
      <c r="B54" s="180">
        <v>0</v>
      </c>
      <c r="C54" s="180">
        <f t="shared" si="18"/>
        <v>0</v>
      </c>
      <c r="D54" s="180">
        <f t="shared" si="18"/>
        <v>0</v>
      </c>
      <c r="E54" s="180">
        <f t="shared" si="18"/>
        <v>0</v>
      </c>
      <c r="F54" s="180">
        <f t="shared" si="18"/>
        <v>0</v>
      </c>
      <c r="G54" s="180">
        <f t="shared" si="18"/>
        <v>0</v>
      </c>
      <c r="H54" s="180">
        <f t="shared" si="18"/>
        <v>0</v>
      </c>
      <c r="I54" s="180">
        <f t="shared" si="18"/>
        <v>0</v>
      </c>
      <c r="J54" s="180">
        <f t="shared" si="18"/>
        <v>0</v>
      </c>
      <c r="K54" s="180">
        <f t="shared" si="18"/>
        <v>0</v>
      </c>
      <c r="L54" s="180">
        <f t="shared" si="18"/>
        <v>0</v>
      </c>
      <c r="M54" s="180">
        <f t="shared" si="18"/>
        <v>0</v>
      </c>
    </row>
    <row r="55" spans="1:13" x14ac:dyDescent="0.25">
      <c r="A55" s="5" t="str">
        <f t="shared" si="16"/>
        <v>CEG T2</v>
      </c>
      <c r="B55" s="180">
        <v>0</v>
      </c>
      <c r="C55" s="180">
        <f t="shared" si="18"/>
        <v>0</v>
      </c>
      <c r="D55" s="180">
        <f t="shared" si="18"/>
        <v>0</v>
      </c>
      <c r="E55" s="180">
        <f t="shared" si="18"/>
        <v>0</v>
      </c>
      <c r="F55" s="180">
        <f t="shared" si="18"/>
        <v>0</v>
      </c>
      <c r="G55" s="180">
        <f t="shared" si="18"/>
        <v>0</v>
      </c>
      <c r="H55" s="180">
        <f t="shared" si="18"/>
        <v>0</v>
      </c>
      <c r="I55" s="180">
        <f t="shared" si="18"/>
        <v>0</v>
      </c>
      <c r="J55" s="180">
        <f t="shared" si="18"/>
        <v>0</v>
      </c>
      <c r="K55" s="180">
        <f t="shared" si="18"/>
        <v>0</v>
      </c>
      <c r="L55" s="180">
        <f t="shared" si="18"/>
        <v>0</v>
      </c>
      <c r="M55" s="180">
        <f t="shared" si="18"/>
        <v>0</v>
      </c>
    </row>
    <row r="56" spans="1:13" x14ac:dyDescent="0.25">
      <c r="A56" s="5" t="str">
        <f t="shared" si="16"/>
        <v>Retraite IRCEM T2 - CEG T2</v>
      </c>
      <c r="B56" s="150">
        <f>+B54+B55</f>
        <v>0</v>
      </c>
      <c r="C56" s="150">
        <f t="shared" si="18"/>
        <v>0</v>
      </c>
      <c r="D56" s="150">
        <f t="shared" si="18"/>
        <v>0</v>
      </c>
      <c r="E56" s="150">
        <f t="shared" si="18"/>
        <v>0</v>
      </c>
      <c r="F56" s="150">
        <f t="shared" si="18"/>
        <v>0</v>
      </c>
      <c r="G56" s="150">
        <f t="shared" si="18"/>
        <v>0</v>
      </c>
      <c r="H56" s="150">
        <f t="shared" si="18"/>
        <v>0</v>
      </c>
      <c r="I56" s="150">
        <f t="shared" si="18"/>
        <v>0</v>
      </c>
      <c r="J56" s="150">
        <f t="shared" si="18"/>
        <v>0</v>
      </c>
      <c r="K56" s="150">
        <f t="shared" si="18"/>
        <v>0</v>
      </c>
      <c r="L56" s="150">
        <f t="shared" si="18"/>
        <v>0</v>
      </c>
      <c r="M56" s="150">
        <f t="shared" si="18"/>
        <v>0</v>
      </c>
    </row>
    <row r="57" spans="1:13" x14ac:dyDescent="0.25">
      <c r="A57" s="6" t="str">
        <f t="shared" si="16"/>
        <v>Famille :</v>
      </c>
      <c r="B57" s="150"/>
      <c r="C57" s="150"/>
      <c r="D57" s="150"/>
      <c r="E57" s="150"/>
      <c r="F57" s="150"/>
      <c r="G57" s="150"/>
      <c r="H57" s="150"/>
      <c r="I57" s="150"/>
      <c r="J57" s="150"/>
      <c r="K57" s="150"/>
      <c r="L57" s="150"/>
      <c r="M57" s="150"/>
    </row>
    <row r="58" spans="1:13" x14ac:dyDescent="0.25">
      <c r="A58" s="5" t="str">
        <f t="shared" si="16"/>
        <v>Famille</v>
      </c>
      <c r="B58" s="180">
        <v>5.3999999999999999E-2</v>
      </c>
      <c r="C58" s="180">
        <f>+B58</f>
        <v>5.3999999999999999E-2</v>
      </c>
      <c r="D58" s="180">
        <f t="shared" ref="D58:M59" si="19">+C58</f>
        <v>5.3999999999999999E-2</v>
      </c>
      <c r="E58" s="180">
        <f t="shared" si="19"/>
        <v>5.3999999999999999E-2</v>
      </c>
      <c r="F58" s="180">
        <f t="shared" si="19"/>
        <v>5.3999999999999999E-2</v>
      </c>
      <c r="G58" s="180">
        <f t="shared" si="19"/>
        <v>5.3999999999999999E-2</v>
      </c>
      <c r="H58" s="180">
        <f t="shared" si="19"/>
        <v>5.3999999999999999E-2</v>
      </c>
      <c r="I58" s="180">
        <f t="shared" si="19"/>
        <v>5.3999999999999999E-2</v>
      </c>
      <c r="J58" s="180">
        <f t="shared" si="19"/>
        <v>5.3999999999999999E-2</v>
      </c>
      <c r="K58" s="180">
        <f t="shared" si="19"/>
        <v>5.3999999999999999E-2</v>
      </c>
      <c r="L58" s="180">
        <f t="shared" si="19"/>
        <v>5.3999999999999999E-2</v>
      </c>
      <c r="M58" s="180">
        <f t="shared" si="19"/>
        <v>5.3999999999999999E-2</v>
      </c>
    </row>
    <row r="59" spans="1:13" x14ac:dyDescent="0.25">
      <c r="A59" s="6" t="str">
        <f t="shared" si="16"/>
        <v>Assurance Chômage :</v>
      </c>
      <c r="B59" s="180">
        <v>2.8000000000000001E-2</v>
      </c>
      <c r="C59" s="180">
        <f>+B59</f>
        <v>2.8000000000000001E-2</v>
      </c>
      <c r="D59" s="180">
        <f t="shared" si="19"/>
        <v>2.8000000000000001E-2</v>
      </c>
      <c r="E59" s="180">
        <f t="shared" si="19"/>
        <v>2.8000000000000001E-2</v>
      </c>
      <c r="F59" s="180">
        <f>+E59</f>
        <v>2.8000000000000001E-2</v>
      </c>
      <c r="G59" s="180">
        <f t="shared" si="19"/>
        <v>2.8000000000000001E-2</v>
      </c>
      <c r="H59" s="180">
        <f t="shared" si="19"/>
        <v>2.8000000000000001E-2</v>
      </c>
      <c r="I59" s="180">
        <f t="shared" si="19"/>
        <v>2.8000000000000001E-2</v>
      </c>
      <c r="J59" s="180">
        <f t="shared" si="19"/>
        <v>2.8000000000000001E-2</v>
      </c>
      <c r="K59" s="180">
        <f t="shared" si="19"/>
        <v>2.8000000000000001E-2</v>
      </c>
      <c r="L59" s="180">
        <f t="shared" si="19"/>
        <v>2.8000000000000001E-2</v>
      </c>
      <c r="M59" s="180">
        <f t="shared" si="19"/>
        <v>2.8000000000000001E-2</v>
      </c>
    </row>
    <row r="60" spans="1:13" x14ac:dyDescent="0.25">
      <c r="A60" s="6" t="str">
        <f t="shared" si="16"/>
        <v>Contribution Santé au Travail</v>
      </c>
      <c r="B60" s="180">
        <v>2.7E-2</v>
      </c>
      <c r="C60" s="180">
        <f>+B60</f>
        <v>2.7E-2</v>
      </c>
      <c r="D60" s="180">
        <f t="shared" ref="D60:M62" si="20">+C60</f>
        <v>2.7E-2</v>
      </c>
      <c r="E60" s="180">
        <f t="shared" si="20"/>
        <v>2.7E-2</v>
      </c>
      <c r="F60" s="180">
        <f t="shared" si="20"/>
        <v>2.7E-2</v>
      </c>
      <c r="G60" s="180">
        <f t="shared" si="20"/>
        <v>2.7E-2</v>
      </c>
      <c r="H60" s="180">
        <f t="shared" si="20"/>
        <v>2.7E-2</v>
      </c>
      <c r="I60" s="180">
        <f t="shared" si="20"/>
        <v>2.7E-2</v>
      </c>
      <c r="J60" s="180">
        <f t="shared" si="20"/>
        <v>2.7E-2</v>
      </c>
      <c r="K60" s="180">
        <f t="shared" si="20"/>
        <v>2.7E-2</v>
      </c>
      <c r="L60" s="180">
        <f t="shared" si="20"/>
        <v>2.7E-2</v>
      </c>
      <c r="M60" s="180">
        <f t="shared" si="20"/>
        <v>2.7E-2</v>
      </c>
    </row>
    <row r="61" spans="1:13" x14ac:dyDescent="0.25">
      <c r="A61" s="7" t="str">
        <f t="shared" ref="A61:A66" si="21">A28</f>
        <v>Autres cotisations patronales</v>
      </c>
      <c r="B61" s="181">
        <v>8.6599999999999993E-3</v>
      </c>
      <c r="C61" s="180">
        <f>+B61</f>
        <v>8.6599999999999993E-3</v>
      </c>
      <c r="D61" s="180">
        <f t="shared" ref="D61" si="22">+C61</f>
        <v>8.6599999999999993E-3</v>
      </c>
      <c r="E61" s="180">
        <f t="shared" ref="E61" si="23">+D61</f>
        <v>8.6599999999999993E-3</v>
      </c>
      <c r="F61" s="180">
        <f t="shared" ref="F61" si="24">+E61</f>
        <v>8.6599999999999993E-3</v>
      </c>
      <c r="G61" s="180">
        <f t="shared" ref="G61" si="25">+F61</f>
        <v>8.6599999999999993E-3</v>
      </c>
      <c r="H61" s="180">
        <f t="shared" ref="H61" si="26">+G61</f>
        <v>8.6599999999999993E-3</v>
      </c>
      <c r="I61" s="180">
        <f t="shared" ref="I61" si="27">+H61</f>
        <v>8.6599999999999993E-3</v>
      </c>
      <c r="J61" s="180">
        <f t="shared" ref="J61" si="28">+I61</f>
        <v>8.6599999999999993E-3</v>
      </c>
      <c r="K61" s="180">
        <f t="shared" ref="K61" si="29">+J61</f>
        <v>8.6599999999999993E-3</v>
      </c>
      <c r="L61" s="180">
        <f t="shared" ref="L61" si="30">+K61</f>
        <v>8.6599999999999993E-3</v>
      </c>
      <c r="M61" s="180">
        <f t="shared" ref="M61" si="31">+L61</f>
        <v>8.6599999999999993E-3</v>
      </c>
    </row>
    <row r="62" spans="1:13" x14ac:dyDescent="0.25">
      <c r="A62" s="7" t="str">
        <f t="shared" si="21"/>
        <v>Autres cotisations patronales T1</v>
      </c>
      <c r="B62" s="181">
        <v>1E-3</v>
      </c>
      <c r="C62" s="181">
        <f>+B62</f>
        <v>1E-3</v>
      </c>
      <c r="D62" s="181">
        <f t="shared" si="20"/>
        <v>1E-3</v>
      </c>
      <c r="E62" s="181">
        <f t="shared" si="20"/>
        <v>1E-3</v>
      </c>
      <c r="F62" s="181">
        <f t="shared" si="20"/>
        <v>1E-3</v>
      </c>
      <c r="G62" s="181">
        <f t="shared" si="20"/>
        <v>1E-3</v>
      </c>
      <c r="H62" s="181">
        <f t="shared" si="20"/>
        <v>1E-3</v>
      </c>
      <c r="I62" s="181">
        <f t="shared" si="20"/>
        <v>1E-3</v>
      </c>
      <c r="J62" s="181">
        <f t="shared" si="20"/>
        <v>1E-3</v>
      </c>
      <c r="K62" s="181">
        <f t="shared" si="20"/>
        <v>1E-3</v>
      </c>
      <c r="L62" s="181">
        <f t="shared" si="20"/>
        <v>1E-3</v>
      </c>
      <c r="M62" s="181">
        <f t="shared" si="20"/>
        <v>1E-3</v>
      </c>
    </row>
    <row r="63" spans="1:13" x14ac:dyDescent="0.25">
      <c r="A63" s="1" t="str">
        <f t="shared" si="21"/>
        <v>CSG déductible de l'IR</v>
      </c>
      <c r="B63" s="150"/>
      <c r="C63" s="150"/>
      <c r="D63" s="150"/>
      <c r="E63" s="150"/>
      <c r="F63" s="150"/>
      <c r="G63" s="150"/>
      <c r="H63" s="150"/>
      <c r="I63" s="150"/>
      <c r="J63" s="150"/>
      <c r="K63" s="150"/>
      <c r="L63" s="150"/>
      <c r="M63" s="150"/>
    </row>
    <row r="64" spans="1:13" x14ac:dyDescent="0.25">
      <c r="A64" s="1" t="str">
        <f t="shared" si="21"/>
        <v>CSG/RDS non déductible de l'IR</v>
      </c>
      <c r="B64" s="150"/>
      <c r="C64" s="150"/>
      <c r="D64" s="150"/>
      <c r="E64" s="150"/>
      <c r="F64" s="150"/>
      <c r="G64" s="150"/>
      <c r="H64" s="150"/>
      <c r="I64" s="150"/>
      <c r="J64" s="150"/>
      <c r="K64" s="150"/>
      <c r="L64" s="150"/>
      <c r="M64" s="150"/>
    </row>
    <row r="65" spans="1:13" x14ac:dyDescent="0.25">
      <c r="A65" s="1" t="str">
        <f t="shared" si="21"/>
        <v>CSG/RDS non déd sur rev non imp</v>
      </c>
      <c r="B65" s="150"/>
      <c r="C65" s="150"/>
      <c r="D65" s="150"/>
      <c r="E65" s="150"/>
      <c r="F65" s="150"/>
      <c r="G65" s="150"/>
      <c r="H65" s="150"/>
      <c r="I65" s="150"/>
      <c r="J65" s="150"/>
      <c r="K65" s="150"/>
      <c r="L65" s="150"/>
      <c r="M65" s="150"/>
    </row>
    <row r="66" spans="1:13" x14ac:dyDescent="0.25">
      <c r="A66" s="8" t="str">
        <f t="shared" si="21"/>
        <v>Réduction cot. HC et HS</v>
      </c>
      <c r="B66" s="151"/>
      <c r="C66" s="151"/>
      <c r="D66" s="151"/>
      <c r="E66" s="151"/>
      <c r="F66" s="151"/>
      <c r="G66" s="151"/>
      <c r="H66" s="151"/>
      <c r="I66" s="151"/>
      <c r="J66" s="151"/>
      <c r="K66" s="151"/>
      <c r="L66" s="151"/>
      <c r="M66" s="151"/>
    </row>
    <row r="67" spans="1:13" x14ac:dyDescent="0.25">
      <c r="B67" s="11">
        <f t="shared" ref="B67:M67" si="32">SUM(B42:B66)</f>
        <v>0.32176000000000005</v>
      </c>
      <c r="C67" s="146">
        <f t="shared" si="32"/>
        <v>0.32176000000000005</v>
      </c>
      <c r="D67" s="146">
        <f t="shared" si="32"/>
        <v>0.32176000000000005</v>
      </c>
      <c r="E67" s="146">
        <f t="shared" si="32"/>
        <v>0.32176000000000005</v>
      </c>
      <c r="F67" s="146">
        <f t="shared" si="32"/>
        <v>0.32176000000000005</v>
      </c>
      <c r="G67" s="146">
        <f t="shared" si="32"/>
        <v>0.32176000000000005</v>
      </c>
      <c r="H67" s="146">
        <f t="shared" si="32"/>
        <v>0.32176000000000005</v>
      </c>
      <c r="I67" s="146">
        <f t="shared" si="32"/>
        <v>0.32176000000000005</v>
      </c>
      <c r="J67" s="146">
        <f t="shared" si="32"/>
        <v>0.32176000000000005</v>
      </c>
      <c r="K67" s="146">
        <f t="shared" si="32"/>
        <v>0.32176000000000005</v>
      </c>
      <c r="L67" s="146">
        <f t="shared" si="32"/>
        <v>0.32176000000000005</v>
      </c>
      <c r="M67" s="146">
        <f t="shared" si="32"/>
        <v>0.32176000000000005</v>
      </c>
    </row>
    <row r="71" spans="1:13" x14ac:dyDescent="0.25">
      <c r="A71" s="136" t="s">
        <v>205</v>
      </c>
    </row>
    <row r="74" spans="1:13" x14ac:dyDescent="0.25">
      <c r="A74" s="140"/>
      <c r="B74" s="137" t="s">
        <v>182</v>
      </c>
      <c r="C74" s="138" t="s">
        <v>183</v>
      </c>
      <c r="D74" s="137" t="s">
        <v>184</v>
      </c>
      <c r="E74" s="138" t="s">
        <v>185</v>
      </c>
      <c r="F74" s="137" t="s">
        <v>186</v>
      </c>
      <c r="G74" s="138" t="s">
        <v>187</v>
      </c>
      <c r="H74" s="137" t="s">
        <v>188</v>
      </c>
      <c r="I74" s="138" t="s">
        <v>189</v>
      </c>
      <c r="J74" s="137" t="s">
        <v>190</v>
      </c>
      <c r="K74" s="138" t="s">
        <v>191</v>
      </c>
      <c r="L74" s="137" t="s">
        <v>192</v>
      </c>
      <c r="M74" s="139" t="s">
        <v>193</v>
      </c>
    </row>
    <row r="75" spans="1:13" x14ac:dyDescent="0.25">
      <c r="A75" s="140"/>
      <c r="B75" s="141">
        <f t="shared" ref="B75:M75" si="33">+B39</f>
        <v>46023</v>
      </c>
      <c r="C75" s="141">
        <f t="shared" si="33"/>
        <v>46054</v>
      </c>
      <c r="D75" s="141">
        <f t="shared" si="33"/>
        <v>46082</v>
      </c>
      <c r="E75" s="141">
        <f t="shared" si="33"/>
        <v>46113</v>
      </c>
      <c r="F75" s="141">
        <f t="shared" si="33"/>
        <v>46143</v>
      </c>
      <c r="G75" s="141">
        <f t="shared" si="33"/>
        <v>46174</v>
      </c>
      <c r="H75" s="141">
        <f t="shared" si="33"/>
        <v>46204</v>
      </c>
      <c r="I75" s="141">
        <f t="shared" si="33"/>
        <v>46235</v>
      </c>
      <c r="J75" s="141">
        <f t="shared" si="33"/>
        <v>46266</v>
      </c>
      <c r="K75" s="141">
        <f t="shared" si="33"/>
        <v>46296</v>
      </c>
      <c r="L75" s="141">
        <f t="shared" si="33"/>
        <v>46327</v>
      </c>
      <c r="M75" s="141">
        <f t="shared" si="33"/>
        <v>46357</v>
      </c>
    </row>
    <row r="76" spans="1:13" ht="30" x14ac:dyDescent="0.25">
      <c r="B76" s="142" t="s">
        <v>115</v>
      </c>
      <c r="C76" s="142" t="s">
        <v>115</v>
      </c>
      <c r="D76" s="142" t="s">
        <v>115</v>
      </c>
      <c r="E76" s="142" t="s">
        <v>115</v>
      </c>
      <c r="F76" s="142" t="s">
        <v>115</v>
      </c>
      <c r="G76" s="142" t="s">
        <v>115</v>
      </c>
      <c r="H76" s="142" t="s">
        <v>115</v>
      </c>
      <c r="I76" s="142" t="s">
        <v>115</v>
      </c>
      <c r="J76" s="142" t="s">
        <v>115</v>
      </c>
      <c r="K76" s="142" t="s">
        <v>115</v>
      </c>
      <c r="L76" s="142" t="s">
        <v>115</v>
      </c>
      <c r="M76" s="142" t="s">
        <v>115</v>
      </c>
    </row>
    <row r="77" spans="1:13" x14ac:dyDescent="0.25">
      <c r="B77" s="9" t="s">
        <v>206</v>
      </c>
      <c r="C77" s="9" t="s">
        <v>206</v>
      </c>
      <c r="D77" s="9" t="s">
        <v>206</v>
      </c>
      <c r="E77" s="9" t="s">
        <v>206</v>
      </c>
      <c r="F77" s="9" t="s">
        <v>206</v>
      </c>
      <c r="G77" s="9" t="s">
        <v>206</v>
      </c>
      <c r="H77" s="9" t="s">
        <v>206</v>
      </c>
      <c r="I77" s="9" t="s">
        <v>206</v>
      </c>
      <c r="J77" s="9" t="s">
        <v>206</v>
      </c>
      <c r="K77" s="9" t="s">
        <v>206</v>
      </c>
      <c r="L77" s="9" t="s">
        <v>206</v>
      </c>
      <c r="M77" s="9" t="s">
        <v>206</v>
      </c>
    </row>
    <row r="78" spans="1:13" x14ac:dyDescent="0.25">
      <c r="A78" s="4" t="str">
        <f t="shared" ref="A78:A102" si="34">A9</f>
        <v>Santé :</v>
      </c>
      <c r="B78" s="152"/>
      <c r="C78" s="152"/>
      <c r="D78" s="152"/>
      <c r="E78" s="152"/>
      <c r="F78" s="152"/>
      <c r="G78" s="152"/>
      <c r="H78" s="152"/>
      <c r="I78" s="152"/>
      <c r="J78" s="152"/>
      <c r="K78" s="152"/>
      <c r="L78" s="152"/>
      <c r="M78" s="152"/>
    </row>
    <row r="79" spans="1:13" x14ac:dyDescent="0.25">
      <c r="A79" s="5" t="str">
        <f t="shared" si="34"/>
        <v>Séc. Soc. Maladie invalidité</v>
      </c>
      <c r="B79" s="206">
        <v>1</v>
      </c>
      <c r="C79" s="206">
        <f>+B79</f>
        <v>1</v>
      </c>
      <c r="D79" s="206">
        <f t="shared" ref="D79:M80" si="35">+C79</f>
        <v>1</v>
      </c>
      <c r="E79" s="206">
        <f t="shared" si="35"/>
        <v>1</v>
      </c>
      <c r="F79" s="206">
        <f t="shared" si="35"/>
        <v>1</v>
      </c>
      <c r="G79" s="206">
        <f t="shared" si="35"/>
        <v>1</v>
      </c>
      <c r="H79" s="206">
        <f t="shared" si="35"/>
        <v>1</v>
      </c>
      <c r="I79" s="206">
        <f t="shared" si="35"/>
        <v>1</v>
      </c>
      <c r="J79" s="206">
        <f t="shared" si="35"/>
        <v>1</v>
      </c>
      <c r="K79" s="206">
        <f t="shared" si="35"/>
        <v>1</v>
      </c>
      <c r="L79" s="206">
        <f t="shared" si="35"/>
        <v>1</v>
      </c>
      <c r="M79" s="206">
        <f t="shared" si="35"/>
        <v>1</v>
      </c>
    </row>
    <row r="80" spans="1:13" x14ac:dyDescent="0.25">
      <c r="A80" s="5" t="str">
        <f t="shared" si="34"/>
        <v>Prévoyance T1</v>
      </c>
      <c r="B80" s="206">
        <v>1</v>
      </c>
      <c r="C80" s="206">
        <f>+B80</f>
        <v>1</v>
      </c>
      <c r="D80" s="206">
        <f t="shared" si="35"/>
        <v>1</v>
      </c>
      <c r="E80" s="206">
        <f t="shared" si="35"/>
        <v>1</v>
      </c>
      <c r="F80" s="206">
        <f t="shared" si="35"/>
        <v>1</v>
      </c>
      <c r="G80" s="206">
        <f t="shared" si="35"/>
        <v>1</v>
      </c>
      <c r="H80" s="206">
        <f t="shared" si="35"/>
        <v>1</v>
      </c>
      <c r="I80" s="206">
        <f t="shared" si="35"/>
        <v>1</v>
      </c>
      <c r="J80" s="206">
        <f t="shared" si="35"/>
        <v>1</v>
      </c>
      <c r="K80" s="206">
        <f t="shared" si="35"/>
        <v>1</v>
      </c>
      <c r="L80" s="206">
        <f t="shared" si="35"/>
        <v>1</v>
      </c>
      <c r="M80" s="206">
        <f t="shared" si="35"/>
        <v>1</v>
      </c>
    </row>
    <row r="81" spans="1:13" x14ac:dyDescent="0.25">
      <c r="A81" s="5" t="str">
        <f t="shared" si="34"/>
        <v>Prévoyance T2</v>
      </c>
      <c r="B81" s="153"/>
      <c r="C81" s="153"/>
      <c r="D81" s="153"/>
      <c r="E81" s="153"/>
      <c r="F81" s="153"/>
      <c r="G81" s="153"/>
      <c r="H81" s="153"/>
      <c r="I81" s="153"/>
      <c r="J81" s="153"/>
      <c r="K81" s="153"/>
      <c r="L81" s="153"/>
      <c r="M81" s="153"/>
    </row>
    <row r="82" spans="1:13" x14ac:dyDescent="0.25">
      <c r="A82" s="6" t="str">
        <f t="shared" si="34"/>
        <v>Accident du travail :</v>
      </c>
      <c r="B82" s="153"/>
      <c r="C82" s="153"/>
      <c r="D82" s="153"/>
      <c r="E82" s="153"/>
      <c r="F82" s="153"/>
      <c r="G82" s="153"/>
      <c r="H82" s="153"/>
      <c r="I82" s="153"/>
      <c r="J82" s="153"/>
      <c r="K82" s="153"/>
      <c r="L82" s="153"/>
      <c r="M82" s="153"/>
    </row>
    <row r="83" spans="1:13" x14ac:dyDescent="0.25">
      <c r="A83" s="6" t="str">
        <f t="shared" si="34"/>
        <v>Retraite :</v>
      </c>
      <c r="B83" s="153"/>
      <c r="C83" s="153"/>
      <c r="D83" s="153"/>
      <c r="E83" s="153"/>
      <c r="F83" s="153"/>
      <c r="G83" s="153"/>
      <c r="H83" s="153"/>
      <c r="I83" s="153"/>
      <c r="J83" s="153"/>
      <c r="K83" s="153"/>
      <c r="L83" s="153"/>
      <c r="M83" s="153"/>
    </row>
    <row r="84" spans="1:13" x14ac:dyDescent="0.25">
      <c r="A84" s="5" t="str">
        <f t="shared" si="34"/>
        <v>Retraite SS T1</v>
      </c>
      <c r="B84" s="206">
        <v>1</v>
      </c>
      <c r="C84" s="206">
        <f t="shared" ref="C84:M92" si="36">+B84</f>
        <v>1</v>
      </c>
      <c r="D84" s="206">
        <f t="shared" si="36"/>
        <v>1</v>
      </c>
      <c r="E84" s="206">
        <f t="shared" si="36"/>
        <v>1</v>
      </c>
      <c r="F84" s="206">
        <f t="shared" si="36"/>
        <v>1</v>
      </c>
      <c r="G84" s="206">
        <f t="shared" si="36"/>
        <v>1</v>
      </c>
      <c r="H84" s="206">
        <f t="shared" si="36"/>
        <v>1</v>
      </c>
      <c r="I84" s="206">
        <f t="shared" si="36"/>
        <v>1</v>
      </c>
      <c r="J84" s="206">
        <f t="shared" si="36"/>
        <v>1</v>
      </c>
      <c r="K84" s="206">
        <f t="shared" si="36"/>
        <v>1</v>
      </c>
      <c r="L84" s="206">
        <f t="shared" si="36"/>
        <v>1</v>
      </c>
      <c r="M84" s="206">
        <f t="shared" si="36"/>
        <v>1</v>
      </c>
    </row>
    <row r="85" spans="1:13" x14ac:dyDescent="0.25">
      <c r="A85" s="5" t="str">
        <f t="shared" si="34"/>
        <v>Retraite SS Totalité</v>
      </c>
      <c r="B85" s="206">
        <v>1</v>
      </c>
      <c r="C85" s="206">
        <f t="shared" si="36"/>
        <v>1</v>
      </c>
      <c r="D85" s="206">
        <f t="shared" si="36"/>
        <v>1</v>
      </c>
      <c r="E85" s="206">
        <f t="shared" si="36"/>
        <v>1</v>
      </c>
      <c r="F85" s="206">
        <f t="shared" si="36"/>
        <v>1</v>
      </c>
      <c r="G85" s="206">
        <f t="shared" si="36"/>
        <v>1</v>
      </c>
      <c r="H85" s="206">
        <f t="shared" si="36"/>
        <v>1</v>
      </c>
      <c r="I85" s="206">
        <f t="shared" si="36"/>
        <v>1</v>
      </c>
      <c r="J85" s="206">
        <f t="shared" si="36"/>
        <v>1</v>
      </c>
      <c r="K85" s="206">
        <f t="shared" si="36"/>
        <v>1</v>
      </c>
      <c r="L85" s="206">
        <f t="shared" si="36"/>
        <v>1</v>
      </c>
      <c r="M85" s="206">
        <f t="shared" si="36"/>
        <v>1</v>
      </c>
    </row>
    <row r="86" spans="1:13" x14ac:dyDescent="0.25">
      <c r="A86" s="5" t="str">
        <f t="shared" si="34"/>
        <v>Retraite IRCEM T1</v>
      </c>
      <c r="B86" s="206">
        <v>1</v>
      </c>
      <c r="C86" s="206">
        <f t="shared" si="36"/>
        <v>1</v>
      </c>
      <c r="D86" s="206">
        <f t="shared" si="36"/>
        <v>1</v>
      </c>
      <c r="E86" s="206">
        <f t="shared" si="36"/>
        <v>1</v>
      </c>
      <c r="F86" s="206">
        <f t="shared" si="36"/>
        <v>1</v>
      </c>
      <c r="G86" s="206">
        <f t="shared" si="36"/>
        <v>1</v>
      </c>
      <c r="H86" s="206">
        <f t="shared" si="36"/>
        <v>1</v>
      </c>
      <c r="I86" s="206">
        <f t="shared" si="36"/>
        <v>1</v>
      </c>
      <c r="J86" s="206">
        <f t="shared" si="36"/>
        <v>1</v>
      </c>
      <c r="K86" s="206">
        <f t="shared" si="36"/>
        <v>1</v>
      </c>
      <c r="L86" s="206">
        <f t="shared" si="36"/>
        <v>1</v>
      </c>
      <c r="M86" s="206">
        <f t="shared" si="36"/>
        <v>1</v>
      </c>
    </row>
    <row r="87" spans="1:13" x14ac:dyDescent="0.25">
      <c r="A87" s="5" t="str">
        <f t="shared" si="34"/>
        <v>CEG T1</v>
      </c>
      <c r="B87" s="206">
        <v>1</v>
      </c>
      <c r="C87" s="206">
        <f t="shared" si="36"/>
        <v>1</v>
      </c>
      <c r="D87" s="206">
        <f t="shared" si="36"/>
        <v>1</v>
      </c>
      <c r="E87" s="206">
        <f t="shared" si="36"/>
        <v>1</v>
      </c>
      <c r="F87" s="206">
        <f t="shared" si="36"/>
        <v>1</v>
      </c>
      <c r="G87" s="206">
        <f t="shared" si="36"/>
        <v>1</v>
      </c>
      <c r="H87" s="206">
        <f t="shared" si="36"/>
        <v>1</v>
      </c>
      <c r="I87" s="206">
        <f t="shared" si="36"/>
        <v>1</v>
      </c>
      <c r="J87" s="206">
        <f t="shared" si="36"/>
        <v>1</v>
      </c>
      <c r="K87" s="206">
        <f t="shared" si="36"/>
        <v>1</v>
      </c>
      <c r="L87" s="206">
        <f t="shared" si="36"/>
        <v>1</v>
      </c>
      <c r="M87" s="206">
        <f t="shared" si="36"/>
        <v>1</v>
      </c>
    </row>
    <row r="88" spans="1:13" x14ac:dyDescent="0.25">
      <c r="A88" s="5" t="str">
        <f t="shared" si="34"/>
        <v>Retraite IRCEM T1 - CEG T1</v>
      </c>
      <c r="B88" s="153">
        <f>+AVERAGE(B86:B87)</f>
        <v>1</v>
      </c>
      <c r="C88" s="153">
        <f t="shared" si="36"/>
        <v>1</v>
      </c>
      <c r="D88" s="153">
        <f t="shared" si="36"/>
        <v>1</v>
      </c>
      <c r="E88" s="153">
        <f t="shared" si="36"/>
        <v>1</v>
      </c>
      <c r="F88" s="153">
        <f t="shared" si="36"/>
        <v>1</v>
      </c>
      <c r="G88" s="153">
        <f t="shared" si="36"/>
        <v>1</v>
      </c>
      <c r="H88" s="153">
        <f t="shared" si="36"/>
        <v>1</v>
      </c>
      <c r="I88" s="153">
        <f t="shared" si="36"/>
        <v>1</v>
      </c>
      <c r="J88" s="153">
        <f t="shared" si="36"/>
        <v>1</v>
      </c>
      <c r="K88" s="153">
        <f t="shared" si="36"/>
        <v>1</v>
      </c>
      <c r="L88" s="153">
        <f t="shared" si="36"/>
        <v>1</v>
      </c>
      <c r="M88" s="153">
        <f t="shared" si="36"/>
        <v>1</v>
      </c>
    </row>
    <row r="89" spans="1:13" x14ac:dyDescent="0.25">
      <c r="A89" s="5" t="str">
        <f t="shared" si="34"/>
        <v>CET si plafond SS atteint</v>
      </c>
      <c r="B89" s="206">
        <v>1</v>
      </c>
      <c r="C89" s="206">
        <f t="shared" si="36"/>
        <v>1</v>
      </c>
      <c r="D89" s="206">
        <f t="shared" si="36"/>
        <v>1</v>
      </c>
      <c r="E89" s="206">
        <f t="shared" si="36"/>
        <v>1</v>
      </c>
      <c r="F89" s="206">
        <f t="shared" si="36"/>
        <v>1</v>
      </c>
      <c r="G89" s="206">
        <f t="shared" si="36"/>
        <v>1</v>
      </c>
      <c r="H89" s="206">
        <f t="shared" si="36"/>
        <v>1</v>
      </c>
      <c r="I89" s="206">
        <f t="shared" si="36"/>
        <v>1</v>
      </c>
      <c r="J89" s="206">
        <f t="shared" si="36"/>
        <v>1</v>
      </c>
      <c r="K89" s="206">
        <f t="shared" si="36"/>
        <v>1</v>
      </c>
      <c r="L89" s="206">
        <f t="shared" si="36"/>
        <v>1</v>
      </c>
      <c r="M89" s="206">
        <f t="shared" si="36"/>
        <v>1</v>
      </c>
    </row>
    <row r="90" spans="1:13" x14ac:dyDescent="0.25">
      <c r="A90" s="5" t="str">
        <f t="shared" si="34"/>
        <v>Retraite IRCEM T2</v>
      </c>
      <c r="B90" s="206">
        <v>1</v>
      </c>
      <c r="C90" s="206">
        <f t="shared" si="36"/>
        <v>1</v>
      </c>
      <c r="D90" s="206">
        <f t="shared" si="36"/>
        <v>1</v>
      </c>
      <c r="E90" s="206">
        <f t="shared" si="36"/>
        <v>1</v>
      </c>
      <c r="F90" s="206">
        <f t="shared" si="36"/>
        <v>1</v>
      </c>
      <c r="G90" s="206">
        <f t="shared" si="36"/>
        <v>1</v>
      </c>
      <c r="H90" s="206">
        <f t="shared" si="36"/>
        <v>1</v>
      </c>
      <c r="I90" s="206">
        <f t="shared" si="36"/>
        <v>1</v>
      </c>
      <c r="J90" s="206">
        <f t="shared" si="36"/>
        <v>1</v>
      </c>
      <c r="K90" s="206">
        <f t="shared" si="36"/>
        <v>1</v>
      </c>
      <c r="L90" s="206">
        <f t="shared" si="36"/>
        <v>1</v>
      </c>
      <c r="M90" s="206">
        <f t="shared" si="36"/>
        <v>1</v>
      </c>
    </row>
    <row r="91" spans="1:13" x14ac:dyDescent="0.25">
      <c r="A91" s="5" t="str">
        <f t="shared" si="34"/>
        <v>CEG T2</v>
      </c>
      <c r="B91" s="206">
        <v>1</v>
      </c>
      <c r="C91" s="206">
        <f t="shared" si="36"/>
        <v>1</v>
      </c>
      <c r="D91" s="206">
        <f t="shared" si="36"/>
        <v>1</v>
      </c>
      <c r="E91" s="206">
        <f t="shared" si="36"/>
        <v>1</v>
      </c>
      <c r="F91" s="206">
        <f t="shared" si="36"/>
        <v>1</v>
      </c>
      <c r="G91" s="206">
        <f t="shared" si="36"/>
        <v>1</v>
      </c>
      <c r="H91" s="206">
        <f t="shared" si="36"/>
        <v>1</v>
      </c>
      <c r="I91" s="206">
        <f t="shared" si="36"/>
        <v>1</v>
      </c>
      <c r="J91" s="206">
        <f t="shared" si="36"/>
        <v>1</v>
      </c>
      <c r="K91" s="206">
        <f t="shared" si="36"/>
        <v>1</v>
      </c>
      <c r="L91" s="206">
        <f t="shared" si="36"/>
        <v>1</v>
      </c>
      <c r="M91" s="206">
        <f t="shared" si="36"/>
        <v>1</v>
      </c>
    </row>
    <row r="92" spans="1:13" x14ac:dyDescent="0.25">
      <c r="A92" s="5" t="str">
        <f t="shared" si="34"/>
        <v>Retraite IRCEM T2 - CEG T2</v>
      </c>
      <c r="B92" s="153">
        <f>+AVERAGE(B90:B91)</f>
        <v>1</v>
      </c>
      <c r="C92" s="153">
        <f t="shared" si="36"/>
        <v>1</v>
      </c>
      <c r="D92" s="153">
        <f t="shared" si="36"/>
        <v>1</v>
      </c>
      <c r="E92" s="153">
        <f t="shared" si="36"/>
        <v>1</v>
      </c>
      <c r="F92" s="153">
        <f t="shared" si="36"/>
        <v>1</v>
      </c>
      <c r="G92" s="153">
        <f t="shared" si="36"/>
        <v>1</v>
      </c>
      <c r="H92" s="153">
        <f t="shared" si="36"/>
        <v>1</v>
      </c>
      <c r="I92" s="153">
        <f t="shared" si="36"/>
        <v>1</v>
      </c>
      <c r="J92" s="153">
        <f t="shared" si="36"/>
        <v>1</v>
      </c>
      <c r="K92" s="153">
        <f t="shared" si="36"/>
        <v>1</v>
      </c>
      <c r="L92" s="153">
        <f t="shared" si="36"/>
        <v>1</v>
      </c>
      <c r="M92" s="153">
        <f t="shared" si="36"/>
        <v>1</v>
      </c>
    </row>
    <row r="93" spans="1:13" x14ac:dyDescent="0.25">
      <c r="A93" s="6" t="str">
        <f t="shared" si="34"/>
        <v>Famille :</v>
      </c>
      <c r="B93" s="153"/>
      <c r="C93" s="153"/>
      <c r="D93" s="153"/>
      <c r="E93" s="153"/>
      <c r="F93" s="153"/>
      <c r="G93" s="153"/>
      <c r="H93" s="153"/>
      <c r="I93" s="153"/>
      <c r="J93" s="153"/>
      <c r="K93" s="153"/>
      <c r="L93" s="153"/>
      <c r="M93" s="153"/>
    </row>
    <row r="94" spans="1:13" x14ac:dyDescent="0.25">
      <c r="A94" s="5" t="str">
        <f t="shared" si="34"/>
        <v>Famille</v>
      </c>
      <c r="B94" s="153"/>
      <c r="C94" s="153"/>
      <c r="D94" s="153"/>
      <c r="E94" s="153"/>
      <c r="F94" s="153"/>
      <c r="G94" s="153"/>
      <c r="H94" s="153"/>
      <c r="I94" s="153"/>
      <c r="J94" s="153"/>
      <c r="K94" s="153"/>
      <c r="L94" s="153"/>
      <c r="M94" s="153"/>
    </row>
    <row r="95" spans="1:13" x14ac:dyDescent="0.25">
      <c r="A95" s="6" t="str">
        <f t="shared" si="34"/>
        <v>Assurance Chômage :</v>
      </c>
      <c r="B95" s="153"/>
      <c r="C95" s="153"/>
      <c r="D95" s="153"/>
      <c r="E95" s="153"/>
      <c r="F95" s="153"/>
      <c r="G95" s="153"/>
      <c r="H95" s="153"/>
      <c r="I95" s="153"/>
      <c r="J95" s="153"/>
      <c r="K95" s="153"/>
      <c r="L95" s="153"/>
      <c r="M95" s="153"/>
    </row>
    <row r="96" spans="1:13" x14ac:dyDescent="0.25">
      <c r="A96" s="6" t="str">
        <f t="shared" si="34"/>
        <v>Contribution Santé au Travail</v>
      </c>
      <c r="B96" s="153"/>
      <c r="C96" s="153"/>
      <c r="D96" s="153"/>
      <c r="E96" s="153"/>
      <c r="F96" s="153"/>
      <c r="G96" s="153"/>
      <c r="H96" s="153"/>
      <c r="I96" s="153"/>
      <c r="J96" s="153"/>
      <c r="K96" s="153"/>
      <c r="L96" s="153"/>
      <c r="M96" s="153"/>
    </row>
    <row r="97" spans="1:13" x14ac:dyDescent="0.25">
      <c r="A97" s="7" t="str">
        <f t="shared" si="34"/>
        <v>Autres cotisations patronales</v>
      </c>
      <c r="B97" s="153"/>
      <c r="C97" s="153"/>
      <c r="D97" s="153"/>
      <c r="E97" s="153"/>
      <c r="F97" s="153"/>
      <c r="G97" s="153"/>
      <c r="H97" s="153"/>
      <c r="I97" s="153"/>
      <c r="J97" s="153"/>
      <c r="K97" s="153"/>
      <c r="L97" s="153"/>
      <c r="M97" s="153"/>
    </row>
    <row r="98" spans="1:13" x14ac:dyDescent="0.25">
      <c r="A98" s="7" t="str">
        <f t="shared" si="34"/>
        <v>Autres cotisations patronales T1</v>
      </c>
      <c r="B98" s="153"/>
      <c r="C98" s="153"/>
      <c r="D98" s="153"/>
      <c r="E98" s="153"/>
      <c r="F98" s="153"/>
      <c r="G98" s="153"/>
      <c r="H98" s="153"/>
      <c r="I98" s="153"/>
      <c r="J98" s="153"/>
      <c r="K98" s="153"/>
      <c r="L98" s="153"/>
      <c r="M98" s="153"/>
    </row>
    <row r="99" spans="1:13" x14ac:dyDescent="0.25">
      <c r="A99" s="1" t="str">
        <f t="shared" si="34"/>
        <v>CSG déductible de l'IR</v>
      </c>
      <c r="B99" s="206">
        <v>0</v>
      </c>
      <c r="C99" s="206">
        <f>+B99</f>
        <v>0</v>
      </c>
      <c r="D99" s="206">
        <f t="shared" ref="D99:M101" si="37">+C99</f>
        <v>0</v>
      </c>
      <c r="E99" s="206">
        <f t="shared" si="37"/>
        <v>0</v>
      </c>
      <c r="F99" s="206">
        <f t="shared" si="37"/>
        <v>0</v>
      </c>
      <c r="G99" s="206">
        <f t="shared" si="37"/>
        <v>0</v>
      </c>
      <c r="H99" s="206">
        <f t="shared" si="37"/>
        <v>0</v>
      </c>
      <c r="I99" s="206">
        <f t="shared" si="37"/>
        <v>0</v>
      </c>
      <c r="J99" s="206">
        <f t="shared" si="37"/>
        <v>0</v>
      </c>
      <c r="K99" s="206">
        <f t="shared" si="37"/>
        <v>0</v>
      </c>
      <c r="L99" s="206">
        <f t="shared" si="37"/>
        <v>0</v>
      </c>
      <c r="M99" s="206">
        <f t="shared" si="37"/>
        <v>0</v>
      </c>
    </row>
    <row r="100" spans="1:13" x14ac:dyDescent="0.25">
      <c r="A100" s="1" t="str">
        <f t="shared" si="34"/>
        <v>CSG/RDS non déductible de l'IR</v>
      </c>
      <c r="B100" s="206">
        <v>0</v>
      </c>
      <c r="C100" s="206">
        <f>+B100</f>
        <v>0</v>
      </c>
      <c r="D100" s="206">
        <f t="shared" si="37"/>
        <v>0</v>
      </c>
      <c r="E100" s="206">
        <f t="shared" si="37"/>
        <v>0</v>
      </c>
      <c r="F100" s="206">
        <f t="shared" si="37"/>
        <v>0</v>
      </c>
      <c r="G100" s="206">
        <f t="shared" si="37"/>
        <v>0</v>
      </c>
      <c r="H100" s="206">
        <f t="shared" si="37"/>
        <v>0</v>
      </c>
      <c r="I100" s="206">
        <f t="shared" si="37"/>
        <v>0</v>
      </c>
      <c r="J100" s="206">
        <f t="shared" si="37"/>
        <v>0</v>
      </c>
      <c r="K100" s="206">
        <f t="shared" si="37"/>
        <v>0</v>
      </c>
      <c r="L100" s="206">
        <f t="shared" si="37"/>
        <v>0</v>
      </c>
      <c r="M100" s="206">
        <f t="shared" si="37"/>
        <v>0</v>
      </c>
    </row>
    <row r="101" spans="1:13" x14ac:dyDescent="0.25">
      <c r="A101" s="1" t="str">
        <f t="shared" si="34"/>
        <v>CSG/RDS non déd sur rev non imp</v>
      </c>
      <c r="B101" s="206">
        <v>0</v>
      </c>
      <c r="C101" s="206">
        <f>+B101</f>
        <v>0</v>
      </c>
      <c r="D101" s="206">
        <f t="shared" si="37"/>
        <v>0</v>
      </c>
      <c r="E101" s="206">
        <f t="shared" si="37"/>
        <v>0</v>
      </c>
      <c r="F101" s="206">
        <f t="shared" si="37"/>
        <v>0</v>
      </c>
      <c r="G101" s="206">
        <f t="shared" si="37"/>
        <v>0</v>
      </c>
      <c r="H101" s="206">
        <f t="shared" si="37"/>
        <v>0</v>
      </c>
      <c r="I101" s="206">
        <f t="shared" si="37"/>
        <v>0</v>
      </c>
      <c r="J101" s="206">
        <f t="shared" si="37"/>
        <v>0</v>
      </c>
      <c r="K101" s="206">
        <f t="shared" si="37"/>
        <v>0</v>
      </c>
      <c r="L101" s="206">
        <f t="shared" si="37"/>
        <v>0</v>
      </c>
      <c r="M101" s="206">
        <f t="shared" si="37"/>
        <v>0</v>
      </c>
    </row>
    <row r="102" spans="1:13" x14ac:dyDescent="0.25">
      <c r="A102" s="8" t="str">
        <f t="shared" si="34"/>
        <v>Réduction cot. HC et HS</v>
      </c>
      <c r="B102" s="154"/>
      <c r="C102" s="154"/>
      <c r="D102" s="154"/>
      <c r="E102" s="154"/>
      <c r="F102" s="154"/>
      <c r="G102" s="154"/>
      <c r="H102" s="154"/>
      <c r="I102" s="154"/>
      <c r="J102" s="154"/>
      <c r="K102" s="154"/>
      <c r="L102" s="154"/>
      <c r="M102" s="154"/>
    </row>
    <row r="107" spans="1:13" x14ac:dyDescent="0.25">
      <c r="A107" s="136" t="s">
        <v>207</v>
      </c>
    </row>
    <row r="109" spans="1:13" x14ac:dyDescent="0.25">
      <c r="B109" s="137" t="s">
        <v>182</v>
      </c>
      <c r="C109" s="138" t="s">
        <v>183</v>
      </c>
      <c r="D109" s="137" t="s">
        <v>184</v>
      </c>
      <c r="E109" s="138" t="s">
        <v>185</v>
      </c>
      <c r="F109" s="137" t="s">
        <v>186</v>
      </c>
      <c r="G109" s="138" t="s">
        <v>187</v>
      </c>
      <c r="H109" s="137" t="s">
        <v>188</v>
      </c>
      <c r="I109" s="138" t="s">
        <v>189</v>
      </c>
      <c r="J109" s="137" t="s">
        <v>190</v>
      </c>
      <c r="K109" s="138" t="s">
        <v>191</v>
      </c>
      <c r="L109" s="137" t="s">
        <v>192</v>
      </c>
      <c r="M109" s="139" t="s">
        <v>193</v>
      </c>
    </row>
    <row r="110" spans="1:13" x14ac:dyDescent="0.25">
      <c r="A110" s="140"/>
      <c r="B110" s="141">
        <f>+B75</f>
        <v>46023</v>
      </c>
      <c r="C110" s="141">
        <f t="shared" ref="C110:M110" si="38">+C75</f>
        <v>46054</v>
      </c>
      <c r="D110" s="141">
        <f t="shared" si="38"/>
        <v>46082</v>
      </c>
      <c r="E110" s="141">
        <f t="shared" si="38"/>
        <v>46113</v>
      </c>
      <c r="F110" s="141">
        <f t="shared" si="38"/>
        <v>46143</v>
      </c>
      <c r="G110" s="141">
        <f t="shared" si="38"/>
        <v>46174</v>
      </c>
      <c r="H110" s="141">
        <f t="shared" si="38"/>
        <v>46204</v>
      </c>
      <c r="I110" s="141">
        <f t="shared" si="38"/>
        <v>46235</v>
      </c>
      <c r="J110" s="141">
        <f t="shared" si="38"/>
        <v>46266</v>
      </c>
      <c r="K110" s="141">
        <f t="shared" si="38"/>
        <v>46296</v>
      </c>
      <c r="L110" s="141">
        <f t="shared" si="38"/>
        <v>46327</v>
      </c>
      <c r="M110" s="141">
        <f t="shared" si="38"/>
        <v>46357</v>
      </c>
    </row>
    <row r="111" spans="1:13" ht="30" x14ac:dyDescent="0.25">
      <c r="B111" s="148" t="s">
        <v>116</v>
      </c>
      <c r="C111" s="148" t="s">
        <v>116</v>
      </c>
      <c r="D111" s="148" t="s">
        <v>116</v>
      </c>
      <c r="E111" s="148" t="s">
        <v>116</v>
      </c>
      <c r="F111" s="148" t="s">
        <v>116</v>
      </c>
      <c r="G111" s="148" t="s">
        <v>116</v>
      </c>
      <c r="H111" s="148" t="s">
        <v>116</v>
      </c>
      <c r="I111" s="148" t="s">
        <v>116</v>
      </c>
      <c r="J111" s="148" t="s">
        <v>116</v>
      </c>
      <c r="K111" s="148" t="s">
        <v>116</v>
      </c>
      <c r="L111" s="148" t="s">
        <v>116</v>
      </c>
      <c r="M111" s="148" t="s">
        <v>116</v>
      </c>
    </row>
    <row r="112" spans="1:13" x14ac:dyDescent="0.25">
      <c r="B112" s="9" t="s">
        <v>206</v>
      </c>
      <c r="C112" s="9" t="s">
        <v>206</v>
      </c>
      <c r="D112" s="9" t="s">
        <v>206</v>
      </c>
      <c r="E112" s="9" t="s">
        <v>206</v>
      </c>
      <c r="F112" s="9" t="s">
        <v>206</v>
      </c>
      <c r="G112" s="9" t="s">
        <v>206</v>
      </c>
      <c r="H112" s="9" t="s">
        <v>206</v>
      </c>
      <c r="I112" s="9" t="s">
        <v>206</v>
      </c>
      <c r="J112" s="9" t="s">
        <v>206</v>
      </c>
      <c r="K112" s="9" t="s">
        <v>206</v>
      </c>
      <c r="L112" s="9" t="s">
        <v>206</v>
      </c>
      <c r="M112" s="9" t="s">
        <v>206</v>
      </c>
    </row>
    <row r="113" spans="1:13" x14ac:dyDescent="0.25">
      <c r="A113" s="4" t="str">
        <f t="shared" ref="A113:A137" si="39">A9</f>
        <v>Santé :</v>
      </c>
      <c r="B113" s="152"/>
      <c r="C113" s="152"/>
      <c r="D113" s="152"/>
      <c r="E113" s="152"/>
      <c r="F113" s="152"/>
      <c r="G113" s="152"/>
      <c r="H113" s="152"/>
      <c r="I113" s="152"/>
      <c r="J113" s="152"/>
      <c r="K113" s="152"/>
      <c r="L113" s="152"/>
      <c r="M113" s="152"/>
    </row>
    <row r="114" spans="1:13" x14ac:dyDescent="0.25">
      <c r="A114" s="5" t="str">
        <f t="shared" si="39"/>
        <v>Séc. Soc. Maladie invalidité</v>
      </c>
      <c r="B114" s="206">
        <v>1</v>
      </c>
      <c r="C114" s="206">
        <f>B114</f>
        <v>1</v>
      </c>
      <c r="D114" s="206">
        <f t="shared" ref="D114:M117" si="40">C114</f>
        <v>1</v>
      </c>
      <c r="E114" s="206">
        <f t="shared" si="40"/>
        <v>1</v>
      </c>
      <c r="F114" s="206">
        <f t="shared" si="40"/>
        <v>1</v>
      </c>
      <c r="G114" s="206">
        <f t="shared" si="40"/>
        <v>1</v>
      </c>
      <c r="H114" s="206">
        <f t="shared" si="40"/>
        <v>1</v>
      </c>
      <c r="I114" s="206">
        <f t="shared" si="40"/>
        <v>1</v>
      </c>
      <c r="J114" s="206">
        <f t="shared" si="40"/>
        <v>1</v>
      </c>
      <c r="K114" s="206">
        <f t="shared" si="40"/>
        <v>1</v>
      </c>
      <c r="L114" s="206">
        <f t="shared" si="40"/>
        <v>1</v>
      </c>
      <c r="M114" s="206">
        <f t="shared" si="40"/>
        <v>1</v>
      </c>
    </row>
    <row r="115" spans="1:13" x14ac:dyDescent="0.25">
      <c r="A115" s="5" t="str">
        <f t="shared" si="39"/>
        <v>Prévoyance T1</v>
      </c>
      <c r="B115" s="206">
        <v>1</v>
      </c>
      <c r="C115" s="206">
        <f>B115</f>
        <v>1</v>
      </c>
      <c r="D115" s="206">
        <f t="shared" si="40"/>
        <v>1</v>
      </c>
      <c r="E115" s="206">
        <f t="shared" si="40"/>
        <v>1</v>
      </c>
      <c r="F115" s="206">
        <f t="shared" si="40"/>
        <v>1</v>
      </c>
      <c r="G115" s="206">
        <f t="shared" si="40"/>
        <v>1</v>
      </c>
      <c r="H115" s="206">
        <f t="shared" si="40"/>
        <v>1</v>
      </c>
      <c r="I115" s="206">
        <f t="shared" si="40"/>
        <v>1</v>
      </c>
      <c r="J115" s="206">
        <f t="shared" si="40"/>
        <v>1</v>
      </c>
      <c r="K115" s="206">
        <f t="shared" si="40"/>
        <v>1</v>
      </c>
      <c r="L115" s="206">
        <f t="shared" si="40"/>
        <v>1</v>
      </c>
      <c r="M115" s="206">
        <f t="shared" si="40"/>
        <v>1</v>
      </c>
    </row>
    <row r="116" spans="1:13" x14ac:dyDescent="0.25">
      <c r="A116" s="5" t="str">
        <f t="shared" si="39"/>
        <v>Prévoyance T2</v>
      </c>
      <c r="B116" s="206">
        <v>1</v>
      </c>
      <c r="C116" s="206">
        <f>B116</f>
        <v>1</v>
      </c>
      <c r="D116" s="206">
        <f t="shared" si="40"/>
        <v>1</v>
      </c>
      <c r="E116" s="206">
        <f t="shared" si="40"/>
        <v>1</v>
      </c>
      <c r="F116" s="206">
        <f t="shared" si="40"/>
        <v>1</v>
      </c>
      <c r="G116" s="206">
        <f t="shared" si="40"/>
        <v>1</v>
      </c>
      <c r="H116" s="206">
        <f t="shared" si="40"/>
        <v>1</v>
      </c>
      <c r="I116" s="206">
        <f t="shared" si="40"/>
        <v>1</v>
      </c>
      <c r="J116" s="206">
        <f t="shared" si="40"/>
        <v>1</v>
      </c>
      <c r="K116" s="206">
        <f t="shared" si="40"/>
        <v>1</v>
      </c>
      <c r="L116" s="206">
        <f t="shared" si="40"/>
        <v>1</v>
      </c>
      <c r="M116" s="206">
        <f t="shared" si="40"/>
        <v>1</v>
      </c>
    </row>
    <row r="117" spans="1:13" x14ac:dyDescent="0.25">
      <c r="A117" s="6" t="str">
        <f t="shared" si="39"/>
        <v>Accident du travail :</v>
      </c>
      <c r="B117" s="206">
        <v>1</v>
      </c>
      <c r="C117" s="206">
        <f>B117</f>
        <v>1</v>
      </c>
      <c r="D117" s="206">
        <f t="shared" si="40"/>
        <v>1</v>
      </c>
      <c r="E117" s="206">
        <f t="shared" si="40"/>
        <v>1</v>
      </c>
      <c r="F117" s="206">
        <f t="shared" si="40"/>
        <v>1</v>
      </c>
      <c r="G117" s="206">
        <f t="shared" si="40"/>
        <v>1</v>
      </c>
      <c r="H117" s="206">
        <f t="shared" si="40"/>
        <v>1</v>
      </c>
      <c r="I117" s="206">
        <f t="shared" si="40"/>
        <v>1</v>
      </c>
      <c r="J117" s="206">
        <f t="shared" si="40"/>
        <v>1</v>
      </c>
      <c r="K117" s="206">
        <f t="shared" si="40"/>
        <v>1</v>
      </c>
      <c r="L117" s="206">
        <f t="shared" si="40"/>
        <v>1</v>
      </c>
      <c r="M117" s="206">
        <f t="shared" si="40"/>
        <v>1</v>
      </c>
    </row>
    <row r="118" spans="1:13" x14ac:dyDescent="0.25">
      <c r="A118" s="6" t="str">
        <f t="shared" si="39"/>
        <v>Retraite :</v>
      </c>
      <c r="B118" s="153"/>
      <c r="C118" s="153"/>
      <c r="D118" s="153"/>
      <c r="E118" s="153"/>
      <c r="F118" s="153"/>
      <c r="G118" s="153"/>
      <c r="H118" s="153"/>
      <c r="I118" s="153"/>
      <c r="J118" s="153"/>
      <c r="K118" s="153"/>
      <c r="L118" s="153"/>
      <c r="M118" s="153"/>
    </row>
    <row r="119" spans="1:13" x14ac:dyDescent="0.25">
      <c r="A119" s="5" t="str">
        <f t="shared" si="39"/>
        <v>Retraite SS T1</v>
      </c>
      <c r="B119" s="206">
        <v>1</v>
      </c>
      <c r="C119" s="206">
        <f t="shared" ref="C119:M127" si="41">B119</f>
        <v>1</v>
      </c>
      <c r="D119" s="206">
        <f t="shared" si="41"/>
        <v>1</v>
      </c>
      <c r="E119" s="206">
        <f t="shared" si="41"/>
        <v>1</v>
      </c>
      <c r="F119" s="206">
        <f t="shared" si="41"/>
        <v>1</v>
      </c>
      <c r="G119" s="206">
        <f t="shared" si="41"/>
        <v>1</v>
      </c>
      <c r="H119" s="206">
        <f t="shared" si="41"/>
        <v>1</v>
      </c>
      <c r="I119" s="206">
        <f t="shared" si="41"/>
        <v>1</v>
      </c>
      <c r="J119" s="206">
        <f t="shared" si="41"/>
        <v>1</v>
      </c>
      <c r="K119" s="206">
        <f t="shared" si="41"/>
        <v>1</v>
      </c>
      <c r="L119" s="206">
        <f t="shared" si="41"/>
        <v>1</v>
      </c>
      <c r="M119" s="206">
        <f t="shared" si="41"/>
        <v>1</v>
      </c>
    </row>
    <row r="120" spans="1:13" x14ac:dyDescent="0.25">
      <c r="A120" s="5" t="str">
        <f t="shared" si="39"/>
        <v>Retraite SS Totalité</v>
      </c>
      <c r="B120" s="206">
        <v>1</v>
      </c>
      <c r="C120" s="206">
        <f t="shared" si="41"/>
        <v>1</v>
      </c>
      <c r="D120" s="206">
        <f t="shared" si="41"/>
        <v>1</v>
      </c>
      <c r="E120" s="206">
        <f t="shared" si="41"/>
        <v>1</v>
      </c>
      <c r="F120" s="206">
        <f t="shared" si="41"/>
        <v>1</v>
      </c>
      <c r="G120" s="206">
        <f t="shared" si="41"/>
        <v>1</v>
      </c>
      <c r="H120" s="206">
        <f t="shared" si="41"/>
        <v>1</v>
      </c>
      <c r="I120" s="206">
        <f t="shared" si="41"/>
        <v>1</v>
      </c>
      <c r="J120" s="206">
        <f t="shared" si="41"/>
        <v>1</v>
      </c>
      <c r="K120" s="206">
        <f t="shared" si="41"/>
        <v>1</v>
      </c>
      <c r="L120" s="206">
        <f t="shared" si="41"/>
        <v>1</v>
      </c>
      <c r="M120" s="206">
        <f t="shared" si="41"/>
        <v>1</v>
      </c>
    </row>
    <row r="121" spans="1:13" x14ac:dyDescent="0.25">
      <c r="A121" s="5" t="str">
        <f t="shared" si="39"/>
        <v>Retraite IRCEM T1</v>
      </c>
      <c r="B121" s="206">
        <v>1</v>
      </c>
      <c r="C121" s="206">
        <f t="shared" si="41"/>
        <v>1</v>
      </c>
      <c r="D121" s="206">
        <f t="shared" si="41"/>
        <v>1</v>
      </c>
      <c r="E121" s="206">
        <f t="shared" si="41"/>
        <v>1</v>
      </c>
      <c r="F121" s="206">
        <f t="shared" si="41"/>
        <v>1</v>
      </c>
      <c r="G121" s="206">
        <f t="shared" si="41"/>
        <v>1</v>
      </c>
      <c r="H121" s="206">
        <f t="shared" si="41"/>
        <v>1</v>
      </c>
      <c r="I121" s="206">
        <f t="shared" si="41"/>
        <v>1</v>
      </c>
      <c r="J121" s="206">
        <f t="shared" si="41"/>
        <v>1</v>
      </c>
      <c r="K121" s="206">
        <f t="shared" si="41"/>
        <v>1</v>
      </c>
      <c r="L121" s="206">
        <f t="shared" si="41"/>
        <v>1</v>
      </c>
      <c r="M121" s="206">
        <f t="shared" si="41"/>
        <v>1</v>
      </c>
    </row>
    <row r="122" spans="1:13" x14ac:dyDescent="0.25">
      <c r="A122" s="5" t="str">
        <f t="shared" si="39"/>
        <v>CEG T1</v>
      </c>
      <c r="B122" s="206">
        <v>1</v>
      </c>
      <c r="C122" s="206">
        <f t="shared" si="41"/>
        <v>1</v>
      </c>
      <c r="D122" s="206">
        <f t="shared" si="41"/>
        <v>1</v>
      </c>
      <c r="E122" s="206">
        <f t="shared" si="41"/>
        <v>1</v>
      </c>
      <c r="F122" s="206">
        <f t="shared" si="41"/>
        <v>1</v>
      </c>
      <c r="G122" s="206">
        <f t="shared" si="41"/>
        <v>1</v>
      </c>
      <c r="H122" s="206">
        <f t="shared" si="41"/>
        <v>1</v>
      </c>
      <c r="I122" s="206">
        <f t="shared" si="41"/>
        <v>1</v>
      </c>
      <c r="J122" s="206">
        <f t="shared" si="41"/>
        <v>1</v>
      </c>
      <c r="K122" s="206">
        <f t="shared" si="41"/>
        <v>1</v>
      </c>
      <c r="L122" s="206">
        <f t="shared" si="41"/>
        <v>1</v>
      </c>
      <c r="M122" s="206">
        <f t="shared" si="41"/>
        <v>1</v>
      </c>
    </row>
    <row r="123" spans="1:13" x14ac:dyDescent="0.25">
      <c r="A123" s="5" t="str">
        <f t="shared" si="39"/>
        <v>Retraite IRCEM T1 - CEG T1</v>
      </c>
      <c r="B123" s="153">
        <f>+AVERAGE(B121:B122)</f>
        <v>1</v>
      </c>
      <c r="C123" s="153">
        <f t="shared" si="41"/>
        <v>1</v>
      </c>
      <c r="D123" s="153">
        <f t="shared" si="41"/>
        <v>1</v>
      </c>
      <c r="E123" s="153">
        <f t="shared" si="41"/>
        <v>1</v>
      </c>
      <c r="F123" s="153">
        <f t="shared" si="41"/>
        <v>1</v>
      </c>
      <c r="G123" s="153">
        <f t="shared" si="41"/>
        <v>1</v>
      </c>
      <c r="H123" s="153">
        <f t="shared" si="41"/>
        <v>1</v>
      </c>
      <c r="I123" s="153">
        <f t="shared" si="41"/>
        <v>1</v>
      </c>
      <c r="J123" s="153">
        <f t="shared" si="41"/>
        <v>1</v>
      </c>
      <c r="K123" s="153">
        <f t="shared" si="41"/>
        <v>1</v>
      </c>
      <c r="L123" s="153">
        <f t="shared" si="41"/>
        <v>1</v>
      </c>
      <c r="M123" s="153">
        <f t="shared" si="41"/>
        <v>1</v>
      </c>
    </row>
    <row r="124" spans="1:13" x14ac:dyDescent="0.25">
      <c r="A124" s="5" t="str">
        <f t="shared" si="39"/>
        <v>CET si plafond SS atteint</v>
      </c>
      <c r="B124" s="206">
        <v>1</v>
      </c>
      <c r="C124" s="206">
        <f t="shared" si="41"/>
        <v>1</v>
      </c>
      <c r="D124" s="206">
        <f t="shared" si="41"/>
        <v>1</v>
      </c>
      <c r="E124" s="206">
        <f t="shared" si="41"/>
        <v>1</v>
      </c>
      <c r="F124" s="206">
        <f t="shared" si="41"/>
        <v>1</v>
      </c>
      <c r="G124" s="206">
        <f t="shared" si="41"/>
        <v>1</v>
      </c>
      <c r="H124" s="206">
        <f t="shared" si="41"/>
        <v>1</v>
      </c>
      <c r="I124" s="206">
        <f t="shared" si="41"/>
        <v>1</v>
      </c>
      <c r="J124" s="206">
        <f t="shared" si="41"/>
        <v>1</v>
      </c>
      <c r="K124" s="206">
        <f t="shared" si="41"/>
        <v>1</v>
      </c>
      <c r="L124" s="206">
        <f t="shared" si="41"/>
        <v>1</v>
      </c>
      <c r="M124" s="206">
        <f t="shared" si="41"/>
        <v>1</v>
      </c>
    </row>
    <row r="125" spans="1:13" x14ac:dyDescent="0.25">
      <c r="A125" s="5" t="str">
        <f t="shared" si="39"/>
        <v>Retraite IRCEM T2</v>
      </c>
      <c r="B125" s="206">
        <v>1</v>
      </c>
      <c r="C125" s="206">
        <f t="shared" si="41"/>
        <v>1</v>
      </c>
      <c r="D125" s="206">
        <f t="shared" si="41"/>
        <v>1</v>
      </c>
      <c r="E125" s="206">
        <f t="shared" si="41"/>
        <v>1</v>
      </c>
      <c r="F125" s="206">
        <f t="shared" si="41"/>
        <v>1</v>
      </c>
      <c r="G125" s="206">
        <f t="shared" si="41"/>
        <v>1</v>
      </c>
      <c r="H125" s="206">
        <f t="shared" si="41"/>
        <v>1</v>
      </c>
      <c r="I125" s="206">
        <f t="shared" si="41"/>
        <v>1</v>
      </c>
      <c r="J125" s="206">
        <f t="shared" si="41"/>
        <v>1</v>
      </c>
      <c r="K125" s="206">
        <f t="shared" si="41"/>
        <v>1</v>
      </c>
      <c r="L125" s="206">
        <f t="shared" si="41"/>
        <v>1</v>
      </c>
      <c r="M125" s="206">
        <f t="shared" si="41"/>
        <v>1</v>
      </c>
    </row>
    <row r="126" spans="1:13" x14ac:dyDescent="0.25">
      <c r="A126" s="5" t="str">
        <f t="shared" si="39"/>
        <v>CEG T2</v>
      </c>
      <c r="B126" s="206">
        <v>1</v>
      </c>
      <c r="C126" s="206">
        <f t="shared" si="41"/>
        <v>1</v>
      </c>
      <c r="D126" s="206">
        <f t="shared" si="41"/>
        <v>1</v>
      </c>
      <c r="E126" s="206">
        <f t="shared" si="41"/>
        <v>1</v>
      </c>
      <c r="F126" s="206">
        <f t="shared" si="41"/>
        <v>1</v>
      </c>
      <c r="G126" s="206">
        <f t="shared" si="41"/>
        <v>1</v>
      </c>
      <c r="H126" s="206">
        <f t="shared" si="41"/>
        <v>1</v>
      </c>
      <c r="I126" s="206">
        <f t="shared" si="41"/>
        <v>1</v>
      </c>
      <c r="J126" s="206">
        <f t="shared" si="41"/>
        <v>1</v>
      </c>
      <c r="K126" s="206">
        <f t="shared" si="41"/>
        <v>1</v>
      </c>
      <c r="L126" s="206">
        <f t="shared" si="41"/>
        <v>1</v>
      </c>
      <c r="M126" s="206">
        <f t="shared" si="41"/>
        <v>1</v>
      </c>
    </row>
    <row r="127" spans="1:13" x14ac:dyDescent="0.25">
      <c r="A127" s="5" t="str">
        <f t="shared" si="39"/>
        <v>Retraite IRCEM T2 - CEG T2</v>
      </c>
      <c r="B127" s="153">
        <f>+AVERAGE(B125:B126)</f>
        <v>1</v>
      </c>
      <c r="C127" s="153">
        <f t="shared" si="41"/>
        <v>1</v>
      </c>
      <c r="D127" s="153">
        <f t="shared" si="41"/>
        <v>1</v>
      </c>
      <c r="E127" s="153">
        <f t="shared" si="41"/>
        <v>1</v>
      </c>
      <c r="F127" s="153">
        <f t="shared" si="41"/>
        <v>1</v>
      </c>
      <c r="G127" s="153">
        <f t="shared" si="41"/>
        <v>1</v>
      </c>
      <c r="H127" s="153">
        <f t="shared" si="41"/>
        <v>1</v>
      </c>
      <c r="I127" s="153">
        <f t="shared" si="41"/>
        <v>1</v>
      </c>
      <c r="J127" s="153">
        <f t="shared" si="41"/>
        <v>1</v>
      </c>
      <c r="K127" s="153">
        <f t="shared" si="41"/>
        <v>1</v>
      </c>
      <c r="L127" s="153">
        <f t="shared" si="41"/>
        <v>1</v>
      </c>
      <c r="M127" s="153">
        <f t="shared" si="41"/>
        <v>1</v>
      </c>
    </row>
    <row r="128" spans="1:13" x14ac:dyDescent="0.25">
      <c r="A128" s="6" t="str">
        <f t="shared" si="39"/>
        <v>Famille :</v>
      </c>
      <c r="B128" s="153"/>
      <c r="C128" s="153"/>
      <c r="D128" s="153"/>
      <c r="E128" s="153"/>
      <c r="F128" s="153"/>
      <c r="G128" s="153"/>
      <c r="H128" s="153"/>
      <c r="I128" s="153"/>
      <c r="J128" s="153"/>
      <c r="K128" s="153"/>
      <c r="L128" s="153"/>
      <c r="M128" s="153"/>
    </row>
    <row r="129" spans="1:13" x14ac:dyDescent="0.25">
      <c r="A129" s="5" t="str">
        <f t="shared" si="39"/>
        <v>Famille</v>
      </c>
      <c r="B129" s="206">
        <v>1</v>
      </c>
      <c r="C129" s="206">
        <f>B129</f>
        <v>1</v>
      </c>
      <c r="D129" s="206">
        <f t="shared" ref="D129:M129" si="42">C129</f>
        <v>1</v>
      </c>
      <c r="E129" s="206">
        <f t="shared" si="42"/>
        <v>1</v>
      </c>
      <c r="F129" s="206">
        <f t="shared" si="42"/>
        <v>1</v>
      </c>
      <c r="G129" s="206">
        <f t="shared" si="42"/>
        <v>1</v>
      </c>
      <c r="H129" s="206">
        <f t="shared" si="42"/>
        <v>1</v>
      </c>
      <c r="I129" s="206">
        <f t="shared" si="42"/>
        <v>1</v>
      </c>
      <c r="J129" s="206">
        <f t="shared" si="42"/>
        <v>1</v>
      </c>
      <c r="K129" s="206">
        <f t="shared" si="42"/>
        <v>1</v>
      </c>
      <c r="L129" s="206">
        <f t="shared" si="42"/>
        <v>1</v>
      </c>
      <c r="M129" s="206">
        <f t="shared" si="42"/>
        <v>1</v>
      </c>
    </row>
    <row r="130" spans="1:13" x14ac:dyDescent="0.25">
      <c r="A130" s="6" t="str">
        <f t="shared" si="39"/>
        <v>Assurance Chômage :</v>
      </c>
      <c r="B130" s="206">
        <v>1</v>
      </c>
      <c r="C130" s="206">
        <f>B130</f>
        <v>1</v>
      </c>
      <c r="D130" s="206">
        <f t="shared" ref="D130" si="43">C130</f>
        <v>1</v>
      </c>
      <c r="E130" s="206">
        <f t="shared" ref="E130" si="44">D130</f>
        <v>1</v>
      </c>
      <c r="F130" s="206">
        <f t="shared" ref="F130" si="45">E130</f>
        <v>1</v>
      </c>
      <c r="G130" s="206">
        <f t="shared" ref="G130" si="46">F130</f>
        <v>1</v>
      </c>
      <c r="H130" s="206">
        <f t="shared" ref="H130" si="47">G130</f>
        <v>1</v>
      </c>
      <c r="I130" s="206">
        <f t="shared" ref="I130" si="48">H130</f>
        <v>1</v>
      </c>
      <c r="J130" s="206">
        <f t="shared" ref="J130" si="49">I130</f>
        <v>1</v>
      </c>
      <c r="K130" s="206">
        <f t="shared" ref="K130" si="50">J130</f>
        <v>1</v>
      </c>
      <c r="L130" s="206">
        <f t="shared" ref="L130" si="51">K130</f>
        <v>1</v>
      </c>
      <c r="M130" s="206">
        <f t="shared" ref="M130" si="52">L130</f>
        <v>1</v>
      </c>
    </row>
    <row r="131" spans="1:13" x14ac:dyDescent="0.25">
      <c r="A131" s="6" t="str">
        <f t="shared" si="39"/>
        <v>Contribution Santé au Travail</v>
      </c>
      <c r="B131" s="206">
        <v>1</v>
      </c>
      <c r="C131" s="206">
        <f>B131</f>
        <v>1</v>
      </c>
      <c r="D131" s="206">
        <f t="shared" ref="D131:M133" si="53">C131</f>
        <v>1</v>
      </c>
      <c r="E131" s="206">
        <f t="shared" si="53"/>
        <v>1</v>
      </c>
      <c r="F131" s="206">
        <f t="shared" si="53"/>
        <v>1</v>
      </c>
      <c r="G131" s="206">
        <f t="shared" si="53"/>
        <v>1</v>
      </c>
      <c r="H131" s="206">
        <f t="shared" si="53"/>
        <v>1</v>
      </c>
      <c r="I131" s="206">
        <f t="shared" si="53"/>
        <v>1</v>
      </c>
      <c r="J131" s="206">
        <f t="shared" si="53"/>
        <v>1</v>
      </c>
      <c r="K131" s="206">
        <f t="shared" si="53"/>
        <v>1</v>
      </c>
      <c r="L131" s="206">
        <f t="shared" si="53"/>
        <v>1</v>
      </c>
      <c r="M131" s="206">
        <f t="shared" si="53"/>
        <v>1</v>
      </c>
    </row>
    <row r="132" spans="1:13" x14ac:dyDescent="0.25">
      <c r="A132" s="7" t="str">
        <f t="shared" si="39"/>
        <v>Autres cotisations patronales</v>
      </c>
      <c r="B132" s="206">
        <v>1</v>
      </c>
      <c r="C132" s="206">
        <f>B132</f>
        <v>1</v>
      </c>
      <c r="D132" s="206">
        <f t="shared" si="53"/>
        <v>1</v>
      </c>
      <c r="E132" s="206">
        <f t="shared" si="53"/>
        <v>1</v>
      </c>
      <c r="F132" s="206">
        <f t="shared" si="53"/>
        <v>1</v>
      </c>
      <c r="G132" s="206">
        <f t="shared" si="53"/>
        <v>1</v>
      </c>
      <c r="H132" s="206">
        <f t="shared" si="53"/>
        <v>1</v>
      </c>
      <c r="I132" s="206">
        <f t="shared" si="53"/>
        <v>1</v>
      </c>
      <c r="J132" s="206">
        <f t="shared" si="53"/>
        <v>1</v>
      </c>
      <c r="K132" s="206">
        <f t="shared" si="53"/>
        <v>1</v>
      </c>
      <c r="L132" s="206">
        <f t="shared" si="53"/>
        <v>1</v>
      </c>
      <c r="M132" s="206">
        <f t="shared" si="53"/>
        <v>1</v>
      </c>
    </row>
    <row r="133" spans="1:13" x14ac:dyDescent="0.25">
      <c r="A133" s="7" t="str">
        <f t="shared" si="39"/>
        <v>Autres cotisations patronales T1</v>
      </c>
      <c r="B133" s="206">
        <v>1</v>
      </c>
      <c r="C133" s="206">
        <f>B133</f>
        <v>1</v>
      </c>
      <c r="D133" s="206">
        <f t="shared" si="53"/>
        <v>1</v>
      </c>
      <c r="E133" s="206">
        <f t="shared" si="53"/>
        <v>1</v>
      </c>
      <c r="F133" s="206">
        <f t="shared" si="53"/>
        <v>1</v>
      </c>
      <c r="G133" s="206">
        <f t="shared" si="53"/>
        <v>1</v>
      </c>
      <c r="H133" s="206">
        <f t="shared" si="53"/>
        <v>1</v>
      </c>
      <c r="I133" s="206">
        <f t="shared" si="53"/>
        <v>1</v>
      </c>
      <c r="J133" s="206">
        <f t="shared" si="53"/>
        <v>1</v>
      </c>
      <c r="K133" s="206">
        <f t="shared" si="53"/>
        <v>1</v>
      </c>
      <c r="L133" s="206">
        <f t="shared" si="53"/>
        <v>1</v>
      </c>
      <c r="M133" s="206">
        <f t="shared" si="53"/>
        <v>1</v>
      </c>
    </row>
    <row r="134" spans="1:13" x14ac:dyDescent="0.25">
      <c r="A134" s="1" t="str">
        <f t="shared" si="39"/>
        <v>CSG déductible de l'IR</v>
      </c>
      <c r="B134" s="153"/>
      <c r="C134" s="153"/>
      <c r="D134" s="153"/>
      <c r="E134" s="153"/>
      <c r="F134" s="153"/>
      <c r="G134" s="153"/>
      <c r="H134" s="153"/>
      <c r="I134" s="153"/>
      <c r="J134" s="153"/>
      <c r="K134" s="153"/>
      <c r="L134" s="153"/>
      <c r="M134" s="153"/>
    </row>
    <row r="135" spans="1:13" x14ac:dyDescent="0.25">
      <c r="A135" s="1" t="str">
        <f t="shared" si="39"/>
        <v>CSG/RDS non déductible de l'IR</v>
      </c>
      <c r="B135" s="153"/>
      <c r="C135" s="153"/>
      <c r="D135" s="153"/>
      <c r="E135" s="153"/>
      <c r="F135" s="153"/>
      <c r="G135" s="153"/>
      <c r="H135" s="153"/>
      <c r="I135" s="153"/>
      <c r="J135" s="153"/>
      <c r="K135" s="153"/>
      <c r="L135" s="153"/>
      <c r="M135" s="153"/>
    </row>
    <row r="136" spans="1:13" x14ac:dyDescent="0.25">
      <c r="A136" s="1" t="str">
        <f t="shared" si="39"/>
        <v>CSG/RDS non déd sur rev non imp</v>
      </c>
      <c r="B136" s="153"/>
      <c r="C136" s="153"/>
      <c r="D136" s="153"/>
      <c r="E136" s="153"/>
      <c r="F136" s="153"/>
      <c r="G136" s="153"/>
      <c r="H136" s="153"/>
      <c r="I136" s="153"/>
      <c r="J136" s="153"/>
      <c r="K136" s="153"/>
      <c r="L136" s="153"/>
      <c r="M136" s="153"/>
    </row>
    <row r="137" spans="1:13" x14ac:dyDescent="0.25">
      <c r="A137" s="8" t="str">
        <f t="shared" si="39"/>
        <v>Réduction cot. HC et HS</v>
      </c>
      <c r="B137" s="154"/>
      <c r="C137" s="154"/>
      <c r="D137" s="154"/>
      <c r="E137" s="154"/>
      <c r="F137" s="154"/>
      <c r="G137" s="154"/>
      <c r="H137" s="154"/>
      <c r="I137" s="154"/>
      <c r="J137" s="154"/>
      <c r="K137" s="154"/>
      <c r="L137" s="154"/>
      <c r="M137" s="154"/>
    </row>
  </sheetData>
  <sheetProtection algorithmName="SHA-512" hashValue="rbetz8KtW9PQMbeBgZyyc8kcmW6VvvMgAGP33YsuFIOTdkQ8U/bI0yrvRQ+bd0jUXpGfXP5jEvEYD0y3UbEclw==" saltValue="50umEr+ObRDf4zmEUufqpA==" spinCount="100000" sheet="1" objects="1" scenarios="1" formatCells="0" formatColumns="0" formatRows="0" insertColumns="0" insertRows="0" insertHyperlink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8</vt:i4>
      </vt:variant>
    </vt:vector>
  </HeadingPairs>
  <TitlesOfParts>
    <vt:vector size="13" baseType="lpstr">
      <vt:lpstr>Bulletin simple</vt:lpstr>
      <vt:lpstr>Retenue sur salaire</vt:lpstr>
      <vt:lpstr>Déclaration Pajemploi</vt:lpstr>
      <vt:lpstr>Exemple</vt:lpstr>
      <vt:lpstr>Taux_cotisations</vt:lpstr>
      <vt:lpstr>base_smic</vt:lpstr>
      <vt:lpstr>HR_HM</vt:lpstr>
      <vt:lpstr>table_coef_base_patronale</vt:lpstr>
      <vt:lpstr>table_coef_base_salariale</vt:lpstr>
      <vt:lpstr>table_taux_patronales</vt:lpstr>
      <vt:lpstr>table_taux_salariale</vt:lpstr>
      <vt:lpstr>'Bulletin simple'!Zone_d_impression</vt:lpstr>
      <vt:lpstr>'Déclaration Pajemploi'!Zone_d_impression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POUTEAU</dc:creator>
  <cp:lastModifiedBy>David POUTEAU</cp:lastModifiedBy>
  <cp:lastPrinted>2024-05-30T12:26:01Z</cp:lastPrinted>
  <dcterms:created xsi:type="dcterms:W3CDTF">2021-01-26T12:57:05Z</dcterms:created>
  <dcterms:modified xsi:type="dcterms:W3CDTF">2026-01-21T13:11:09Z</dcterms:modified>
</cp:coreProperties>
</file>